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Daten\PROJEKTE INTERN\Bauen und Wohnen - Betrachtung CO2-Budget\"/>
    </mc:Choice>
  </mc:AlternateContent>
  <xr:revisionPtr revIDLastSave="0" documentId="13_ncr:1_{77EC5EC8-CD1E-4F66-8ED0-24B09772FE34}" xr6:coauthVersionLast="44" xr6:coauthVersionMax="44" xr10:uidLastSave="{00000000-0000-0000-0000-000000000000}"/>
  <bookViews>
    <workbookView xWindow="-108" yWindow="-108" windowWidth="23256" windowHeight="12576" xr2:uid="{94D3AF1A-7A67-40E9-BD16-EB88AD79DC1D}"/>
  </bookViews>
  <sheets>
    <sheet name="Sanierung"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6" i="2" l="1"/>
  <c r="C31" i="2" l="1"/>
  <c r="O30" i="2"/>
  <c r="P30" i="2"/>
  <c r="Q30" i="2"/>
  <c r="R30" i="2"/>
  <c r="S30" i="2"/>
  <c r="T30" i="2"/>
  <c r="U30" i="2"/>
  <c r="V30" i="2"/>
  <c r="W30" i="2"/>
  <c r="X30" i="2"/>
  <c r="D30" i="2"/>
  <c r="D31" i="2" s="1"/>
  <c r="C30" i="2"/>
  <c r="O26" i="2"/>
  <c r="P26" i="2"/>
  <c r="Q26" i="2"/>
  <c r="R26" i="2"/>
  <c r="S26" i="2"/>
  <c r="T26" i="2"/>
  <c r="U26" i="2"/>
  <c r="V26" i="2"/>
  <c r="W26" i="2"/>
  <c r="X26" i="2"/>
  <c r="D26" i="2"/>
  <c r="C26" i="2"/>
  <c r="E26" i="2" l="1"/>
  <c r="D27" i="2"/>
  <c r="E30" i="2"/>
  <c r="E31" i="2" s="1"/>
  <c r="F26" i="2" l="1"/>
  <c r="E27" i="2"/>
  <c r="F30" i="2"/>
  <c r="F31" i="2" s="1"/>
  <c r="G26" i="2" l="1"/>
  <c r="F27" i="2"/>
  <c r="G30" i="2"/>
  <c r="G31" i="2" s="1"/>
  <c r="H26" i="2" l="1"/>
  <c r="G27" i="2"/>
  <c r="H30" i="2"/>
  <c r="H31" i="2" s="1"/>
  <c r="I26" i="2" l="1"/>
  <c r="H27" i="2"/>
  <c r="I30" i="2"/>
  <c r="I31" i="2" s="1"/>
  <c r="J26" i="2" l="1"/>
  <c r="K26" i="2" s="1"/>
  <c r="L26" i="2" s="1"/>
  <c r="M26" i="2" s="1"/>
  <c r="N26" i="2" s="1"/>
  <c r="I27" i="2"/>
  <c r="J30" i="2"/>
  <c r="K30" i="2" l="1"/>
  <c r="L30" i="2" l="1"/>
  <c r="M30" i="2" l="1"/>
  <c r="N30" i="2" l="1"/>
  <c r="C27" i="2" l="1"/>
  <c r="C13" i="2" l="1"/>
  <c r="C8" i="2"/>
  <c r="C4" i="2"/>
  <c r="D33" i="2" l="1"/>
  <c r="E33" i="2"/>
  <c r="F33" i="2"/>
  <c r="G33" i="2"/>
  <c r="H33" i="2"/>
  <c r="I33" i="2"/>
  <c r="J33" i="2"/>
  <c r="K33" i="2"/>
  <c r="L33" i="2"/>
  <c r="M33" i="2"/>
  <c r="N33" i="2"/>
  <c r="O33" i="2"/>
  <c r="P33" i="2"/>
  <c r="Q33" i="2"/>
  <c r="R33" i="2"/>
  <c r="S33" i="2"/>
  <c r="T33" i="2"/>
  <c r="U33" i="2"/>
  <c r="V33" i="2"/>
  <c r="W33" i="2"/>
  <c r="X33" i="2"/>
  <c r="C33" i="2"/>
  <c r="C29" i="2"/>
  <c r="D29" i="2" s="1"/>
  <c r="E29" i="2" s="1"/>
  <c r="F29" i="2" s="1"/>
  <c r="G29" i="2" s="1"/>
  <c r="H29" i="2" s="1"/>
  <c r="I29" i="2" s="1"/>
  <c r="J29" i="2" s="1"/>
  <c r="K29" i="2" s="1"/>
  <c r="L29" i="2" s="1"/>
  <c r="M29" i="2" s="1"/>
  <c r="N29" i="2" s="1"/>
  <c r="O29" i="2" s="1"/>
  <c r="P29" i="2" s="1"/>
  <c r="Q29" i="2" s="1"/>
  <c r="R29" i="2" s="1"/>
  <c r="S29" i="2" s="1"/>
  <c r="T29" i="2" s="1"/>
  <c r="U29" i="2" s="1"/>
  <c r="V29" i="2" s="1"/>
  <c r="W29" i="2" s="1"/>
  <c r="X29" i="2" s="1"/>
  <c r="N10" i="2"/>
  <c r="N9" i="2"/>
  <c r="N8" i="2"/>
  <c r="M10" i="2"/>
  <c r="M9" i="2"/>
  <c r="M8" i="2"/>
  <c r="C25" i="2"/>
  <c r="P27" i="2" l="1"/>
  <c r="R27" i="2"/>
  <c r="K27" i="2"/>
  <c r="S27" i="2"/>
  <c r="L27" i="2"/>
  <c r="W27" i="2"/>
  <c r="J27" i="2"/>
  <c r="T27" i="2"/>
  <c r="X27" i="2"/>
  <c r="M27" i="2"/>
  <c r="U27" i="2"/>
  <c r="O27" i="2"/>
  <c r="N27" i="2"/>
  <c r="V27" i="2"/>
  <c r="Q27" i="2"/>
  <c r="M31" i="2"/>
  <c r="U31" i="2"/>
  <c r="N31" i="2"/>
  <c r="V31" i="2"/>
  <c r="O31" i="2"/>
  <c r="W31" i="2"/>
  <c r="P31" i="2"/>
  <c r="X31" i="2"/>
  <c r="Q31" i="2"/>
  <c r="J31" i="2"/>
  <c r="R31" i="2"/>
  <c r="T31" i="2"/>
  <c r="K31" i="2"/>
  <c r="S31" i="2"/>
  <c r="L31" i="2"/>
  <c r="C28" i="2"/>
  <c r="C32" i="2"/>
  <c r="D25" i="2"/>
  <c r="E25" i="2" s="1"/>
  <c r="F25" i="2" s="1"/>
  <c r="G25" i="2" s="1"/>
  <c r="H25" i="2" s="1"/>
  <c r="I25" i="2" s="1"/>
  <c r="J25" i="2" s="1"/>
  <c r="K25" i="2" s="1"/>
  <c r="L25" i="2" s="1"/>
  <c r="M25" i="2" s="1"/>
  <c r="N25" i="2" s="1"/>
  <c r="O25" i="2" s="1"/>
  <c r="P25" i="2" s="1"/>
  <c r="Q25" i="2" s="1"/>
  <c r="R25" i="2" s="1"/>
  <c r="S25" i="2" s="1"/>
  <c r="T25" i="2" s="1"/>
  <c r="U25" i="2" s="1"/>
  <c r="V25" i="2" s="1"/>
  <c r="W25" i="2" s="1"/>
  <c r="X25" i="2" s="1"/>
  <c r="X28" i="2" l="1"/>
  <c r="C34" i="2"/>
  <c r="C35" i="2" s="1"/>
  <c r="T28" i="2"/>
  <c r="P28" i="2"/>
  <c r="Q28" i="2"/>
  <c r="V28" i="2"/>
  <c r="W28" i="2"/>
  <c r="M28" i="2"/>
  <c r="E28" i="2"/>
  <c r="F28" i="2"/>
  <c r="O28" i="2"/>
  <c r="I28" i="2"/>
  <c r="U28" i="2"/>
  <c r="D28" i="2"/>
  <c r="L28" i="2"/>
  <c r="K28" i="2"/>
  <c r="H28" i="2"/>
  <c r="G28" i="2"/>
  <c r="S28" i="2"/>
  <c r="R28" i="2"/>
  <c r="N28" i="2"/>
  <c r="J28" i="2"/>
  <c r="D32" i="2"/>
  <c r="E32" i="2"/>
  <c r="E34" i="2" l="1"/>
  <c r="D34" i="2"/>
  <c r="D35" i="2" s="1"/>
  <c r="F32" i="2"/>
  <c r="F34" i="2" s="1"/>
  <c r="E35" i="2" l="1"/>
  <c r="F35" i="2"/>
  <c r="G32" i="2"/>
  <c r="G34" i="2" s="1"/>
  <c r="H32" i="2" l="1"/>
  <c r="H34" i="2" s="1"/>
  <c r="G35" i="2"/>
  <c r="I32" i="2" l="1"/>
  <c r="I34" i="2" s="1"/>
  <c r="H35" i="2"/>
  <c r="J32" i="2" l="1"/>
  <c r="J34" i="2" s="1"/>
  <c r="I35" i="2"/>
  <c r="K32" i="2" l="1"/>
  <c r="K34" i="2" s="1"/>
  <c r="J35" i="2"/>
  <c r="L32" i="2" l="1"/>
  <c r="L34" i="2" s="1"/>
  <c r="L35" i="2" s="1"/>
  <c r="K35" i="2"/>
  <c r="M32" i="2" l="1"/>
  <c r="M34" i="2" s="1"/>
  <c r="M35" i="2" s="1"/>
  <c r="N32" i="2" l="1"/>
  <c r="N34" i="2" s="1"/>
  <c r="N35" i="2" s="1"/>
  <c r="O32" i="2" l="1"/>
  <c r="O34" i="2" s="1"/>
  <c r="O35" i="2" s="1"/>
  <c r="P32" i="2" l="1"/>
  <c r="P34" i="2" s="1"/>
  <c r="P35" i="2" s="1"/>
  <c r="Q32" i="2" l="1"/>
  <c r="Q34" i="2" s="1"/>
  <c r="Q35" i="2" s="1"/>
  <c r="R32" i="2" l="1"/>
  <c r="R34" i="2" s="1"/>
  <c r="R35" i="2" s="1"/>
  <c r="S32" i="2" l="1"/>
  <c r="S34" i="2" s="1"/>
  <c r="S35" i="2" s="1"/>
  <c r="T32" i="2" l="1"/>
  <c r="T34" i="2" s="1"/>
  <c r="T35" i="2" s="1"/>
  <c r="U32" i="2" l="1"/>
  <c r="U34" i="2" s="1"/>
  <c r="U35" i="2" s="1"/>
  <c r="V32" i="2" l="1"/>
  <c r="V34" i="2" s="1"/>
  <c r="V35" i="2" s="1"/>
  <c r="W32" i="2" l="1"/>
  <c r="W34" i="2" s="1"/>
  <c r="W35" i="2" s="1"/>
  <c r="X32" i="2"/>
  <c r="X34" i="2" l="1"/>
  <c r="X35" i="2" s="1"/>
  <c r="N17" i="2" s="1"/>
  <c r="N18" i="2" s="1"/>
  <c r="N19" i="2"/>
  <c r="N2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Christof Drexel</author>
  </authors>
  <commentList>
    <comment ref="A2" authorId="0" shapeId="0" xr:uid="{68F214DD-3EE1-4745-98C4-5E536ADE7C59}">
      <text>
        <r>
          <rPr>
            <b/>
            <sz val="9"/>
            <color indexed="81"/>
            <rFont val="Segoe UI"/>
            <family val="2"/>
          </rPr>
          <t>reale Verbrauchsdaten verwenden</t>
        </r>
      </text>
    </comment>
    <comment ref="A3" authorId="0" shapeId="0" xr:uid="{26F99B06-99BB-41FA-A2B0-198C17C271EB}">
      <text>
        <r>
          <rPr>
            <b/>
            <sz val="9"/>
            <color indexed="81"/>
            <rFont val="Segoe UI"/>
            <family val="2"/>
          </rPr>
          <t>Berücksichtigt Verluste bei der Wärme-Erzeugung, -Speicherung und -Verteilung.
Nicht aber den Primärenergiefaktor (im Fall von elektrischem Strom muss dieser Faktor variabel gestaltet werden können) - also nicht zu verwechseln mit dem Jahresnutzungsgrad!
Auch die Anlagenaufwandszahl ist aus diesem Grund ungeeignet.
Je nach Heizgerät, Art der Wärmespeicherung und Art des Verteilsystems sind Werte von 60-90% anzusetzen.</t>
        </r>
      </text>
    </comment>
    <comment ref="M5" authorId="0" shapeId="0" xr:uid="{EB8FD662-D641-4470-BD7E-3D2465FD6B4A}">
      <text>
        <r>
          <rPr>
            <b/>
            <sz val="9"/>
            <color indexed="81"/>
            <rFont val="Segoe UI"/>
            <family val="2"/>
          </rPr>
          <t>0 - 150, abhängig von Brennstoff bzw. Primäranwendung</t>
        </r>
      </text>
    </comment>
    <comment ref="M6" authorId="0" shapeId="0" xr:uid="{B41ABC66-A50F-484B-B437-28CADA4C1DA9}">
      <text>
        <r>
          <rPr>
            <b/>
            <sz val="9"/>
            <color indexed="81"/>
            <rFont val="Segoe UI"/>
            <family val="2"/>
          </rPr>
          <t>bei KWK: 0</t>
        </r>
      </text>
    </comment>
    <comment ref="A7" authorId="0" shapeId="0" xr:uid="{06EE7199-53AC-4205-AE4B-C7A5B639424C}">
      <text>
        <r>
          <rPr>
            <b/>
            <sz val="9"/>
            <color indexed="81"/>
            <rFont val="Segoe UI"/>
            <family val="2"/>
          </rPr>
          <t>Bitte beachten: Aufgrund des deutlich niedrigeren Heizwärmebedarfs nimmt der relative Verlustanteil - z.B. durch konstante Speicher- oder Verteilverluste - oft zu. Höhere Werte sind nur möglich, wenn im Zuge der Gebäudesanierung auch an der Minimierung dieser Verluste gearbeitet wird.</t>
        </r>
      </text>
    </comment>
    <comment ref="M7" authorId="0" shapeId="0" xr:uid="{D94D19AE-57D8-41E4-B192-A42091D5F051}">
      <text>
        <r>
          <rPr>
            <b/>
            <sz val="9"/>
            <color indexed="81"/>
            <rFont val="Segoe UI"/>
            <family val="2"/>
          </rPr>
          <t>10 - 500, Strommix der Region. Niedriger Wert auch ansetzbar, wenn zeitgleich mit der strombasierten Gebäudetechnik Ausbau der EE-Stromversorgung erfolgt</t>
        </r>
      </text>
    </comment>
    <comment ref="N7" authorId="0" shapeId="0" xr:uid="{BCFF01D8-5247-4C95-9950-AB86B37E7007}">
      <text>
        <r>
          <rPr>
            <b/>
            <sz val="9"/>
            <color indexed="81"/>
            <rFont val="Segoe UI"/>
            <family val="2"/>
          </rPr>
          <t>Emissionsfaktor der zukünftigen Stromerzeugung.
Wind … 5-10
Wasserkraft 10-15
Biomasse … 20-30
PV … 50-90</t>
        </r>
      </text>
    </comment>
    <comment ref="H8" authorId="0" shapeId="0" xr:uid="{0D1EC6FD-FE1E-425D-B366-AE571ED49270}">
      <text>
        <r>
          <rPr>
            <b/>
            <sz val="9"/>
            <color indexed="81"/>
            <rFont val="Segoe UI"/>
            <family val="2"/>
          </rPr>
          <t>Mit der Jahresarbeitszahl (JAZ) ist hier die "Erzeuger"-JAZ gemeint - also das Verhältnis von jener Energie, die von der Wärmepumpe erzeugt wurde, zu der verbrauchten elektrischen Energie.
Die restlichen Verluste für Speicherung und Verteilung sind im jeweiligen Systemwirkungsgrad berücksichtigt.
Eine JAZ von 3,0 ist typisch für eine Luft-Wasser-Wärmepumpe mit Niedertemperatur-Heizkreis.</t>
        </r>
      </text>
    </comment>
    <comment ref="H9" authorId="0" shapeId="0" xr:uid="{44C953C3-0417-4BFD-900F-F0AAD159123E}">
      <text>
        <r>
          <rPr>
            <b/>
            <sz val="9"/>
            <color indexed="81"/>
            <rFont val="Segoe UI"/>
            <family val="2"/>
          </rPr>
          <t>Mit der Jahresarbeitszahl (JAZ) ist hier die "Erzeuger"-JAZ gemeint - also das Verhältnis von jener Energie, die von der Wärmepumpe erzeugt wurde, zu der verbrauchten elektrischen Energie.
Die restlichen Verluste für Speicherung und Verteilung sind im jeweiligen Systemwirkungsgrad berücksichtigt.
Eine JAZ von 4,0 ist typisch für eine modulierende Sole-Wasser-Wärmepumpe mit Flachkollektor, oder auch für eine drehzahlkonstante Sole-Wasser-Wärmepumpe mit Erdsonde (jeweils mit  Niedertemperatur-Heizkreis).</t>
        </r>
      </text>
    </comment>
    <comment ref="A10" authorId="0" shapeId="0" xr:uid="{B9A24E34-737C-426C-BBF2-80F8E98B3095}">
      <text>
        <r>
          <rPr>
            <b/>
            <sz val="9"/>
            <color indexed="81"/>
            <rFont val="Segoe UI"/>
            <family val="2"/>
          </rPr>
          <t xml:space="preserve">Möglicherweise der entscheidende Hebel bei der Einhaltung des Gesamtbudgets.
Niedrige Werte sind nur mit natürlichen Rohstoffen möglich. </t>
        </r>
      </text>
    </comment>
    <comment ref="H10" authorId="0" shapeId="0" xr:uid="{9CAB2617-EF27-4BDC-940F-66775F9C6441}">
      <text>
        <r>
          <rPr>
            <b/>
            <sz val="9"/>
            <color indexed="81"/>
            <rFont val="Segoe UI"/>
            <family val="2"/>
          </rPr>
          <t>Mit der Jahresarbeitszahl (JAZ) ist hier die "Erzeuger"-JAZ gemeint - also das Verhältnis von jener Energie, die von der Wärmepumpe erzeugt wurde, zu der verbrauchten elektrischen Energie.
Die restlichen Verluste für Speicherung und Verteilung sind im jeweiligen Systemwirkungsgrad berücksichtigt.
Eine JAZ von 5,0 ist typisch für eine modulierende Sole-Wasser-Wärmepumpe mit Erdsonde und Niedertemperatur-Heizkreis.</t>
        </r>
      </text>
    </comment>
    <comment ref="A12" authorId="0" shapeId="0" xr:uid="{D87096E0-BE5E-4098-B204-9EE0B2CC57E8}">
      <text>
        <r>
          <rPr>
            <b/>
            <sz val="9"/>
            <color indexed="81"/>
            <rFont val="Segoe UI"/>
            <family val="2"/>
          </rPr>
          <t>In Relation zu den niedrigen Energiemengen sind die Verluste für Speicherung und Verteilung oft hoch.
Gesamtwirkungsgrade von 50% sind keine Seltenheit.
100% sind hingegen nur mit Durchlauferhitzer erreichbar (keine Speicher- und keine Verteilverluste)</t>
        </r>
      </text>
    </comment>
    <comment ref="N16" authorId="0" shapeId="0" xr:uid="{8CE54AC4-BE30-462F-B6DA-9CBE93B05AB8}">
      <text>
        <r>
          <rPr>
            <b/>
            <sz val="9"/>
            <color indexed="81"/>
            <rFont val="Segoe UI"/>
            <family val="2"/>
          </rPr>
          <t>gibt Auskunft über die wirtschaftliche Sinnhaftigkeit einer Sanierung</t>
        </r>
      </text>
    </comment>
    <comment ref="H18" authorId="0" shapeId="0" xr:uid="{6C85F8EA-984C-4EF8-9987-700B02B0769D}">
      <text>
        <r>
          <rPr>
            <b/>
            <sz val="9"/>
            <color indexed="81"/>
            <rFont val="Segoe UI"/>
            <family val="2"/>
          </rPr>
          <t xml:space="preserve">Wählbar. 440 kg/m² gilt für die lineare Reduktion auf insgesamt 1 to/pax innerhalb der nächsten 20 Jahre; Anteil Bauen und Wohnen heute ca. 16%; 2040 ca. 7% </t>
        </r>
      </text>
    </comment>
    <comment ref="N18" authorId="0" shapeId="0" xr:uid="{D4C7DF2D-7662-404D-AB83-DB5C9D8C2CFD}">
      <text>
        <r>
          <rPr>
            <b/>
            <sz val="9"/>
            <color indexed="81"/>
            <rFont val="Segoe UI"/>
            <family val="2"/>
          </rPr>
          <t>Das Budget sollte im Durchschnitt eingehalten werden. Ein Teil der Gebäude ist schon heute besser; für manche muss ein geringerer Aufwand betrieben werden. Geringfügige Überschreitungen deshalb im Einzelfall möglich.</t>
        </r>
      </text>
    </comment>
    <comment ref="H20" authorId="0" shapeId="0" xr:uid="{7FA19510-4F13-4E1C-9123-4105077811F0}">
      <text>
        <r>
          <rPr>
            <b/>
            <sz val="9"/>
            <color indexed="81"/>
            <rFont val="Segoe UI"/>
            <family val="2"/>
          </rPr>
          <t>1,5 kg/m²: bei 45 m²/pax - ca. 70 kg/pax - 7% der Gesamtemission von 1 to/pax</t>
        </r>
      </text>
    </comment>
  </commentList>
</comments>
</file>

<file path=xl/sharedStrings.xml><?xml version="1.0" encoding="utf-8"?>
<sst xmlns="http://schemas.openxmlformats.org/spreadsheetml/2006/main" count="109" uniqueCount="66">
  <si>
    <t>Jahr</t>
  </si>
  <si>
    <t>kWh/m²a</t>
  </si>
  <si>
    <t>kgCO2/m²</t>
  </si>
  <si>
    <t>Gesamtemission</t>
  </si>
  <si>
    <t>Gesamtemission kumuliert</t>
  </si>
  <si>
    <t xml:space="preserve"> -</t>
  </si>
  <si>
    <t>Baujahr oder Jahr der letzten Sanierung</t>
  </si>
  <si>
    <t>Jahr der geplanten Sanierung</t>
  </si>
  <si>
    <t xml:space="preserve"> - </t>
  </si>
  <si>
    <t>Heizwärmebedarf nach Sanierung</t>
  </si>
  <si>
    <t>Heizwärmebedarf derzeit</t>
  </si>
  <si>
    <t>(50 - 300)</t>
  </si>
  <si>
    <t>(1900 - 2018)</t>
  </si>
  <si>
    <t>(20 - 50)</t>
  </si>
  <si>
    <t>(2020 - 2040)</t>
  </si>
  <si>
    <t>Gebäudetechnik derzeit:</t>
  </si>
  <si>
    <t>Heizen</t>
  </si>
  <si>
    <t>Warmwasser</t>
  </si>
  <si>
    <t>Emissionsfaktoren</t>
  </si>
  <si>
    <t>Öl</t>
  </si>
  <si>
    <t>Gas</t>
  </si>
  <si>
    <t>Biomasse</t>
  </si>
  <si>
    <t>Strom direkt</t>
  </si>
  <si>
    <r>
      <t>kgCO</t>
    </r>
    <r>
      <rPr>
        <vertAlign val="subscript"/>
        <sz val="11"/>
        <color theme="1"/>
        <rFont val="Calibri"/>
        <family val="2"/>
        <scheme val="minor"/>
      </rPr>
      <t>2</t>
    </r>
    <r>
      <rPr>
        <sz val="11"/>
        <color theme="1"/>
        <rFont val="Calibri"/>
        <family val="2"/>
        <scheme val="minor"/>
      </rPr>
      <t>eq/m²</t>
    </r>
  </si>
  <si>
    <r>
      <t>gCO</t>
    </r>
    <r>
      <rPr>
        <vertAlign val="subscript"/>
        <sz val="11"/>
        <color theme="1"/>
        <rFont val="Calibri"/>
        <family val="2"/>
        <scheme val="minor"/>
      </rPr>
      <t>2</t>
    </r>
    <r>
      <rPr>
        <sz val="11"/>
        <color theme="1"/>
        <rFont val="Calibri"/>
        <family val="2"/>
        <scheme val="minor"/>
      </rPr>
      <t>eq/kWh</t>
    </r>
  </si>
  <si>
    <t>Fernwärme</t>
  </si>
  <si>
    <t>Gebäudetechnik nach Umbau:</t>
  </si>
  <si>
    <t>Jahr des geplanten Umbaus</t>
  </si>
  <si>
    <t>Auswahlliste</t>
  </si>
  <si>
    <t>Emissionsfaktor</t>
  </si>
  <si>
    <t>derzeit</t>
  </si>
  <si>
    <t>Warmwasserbedarf, konstant</t>
  </si>
  <si>
    <t>Emission Heizen</t>
  </si>
  <si>
    <t>Emission Warmwasser</t>
  </si>
  <si>
    <t>Aufwand Sanierung</t>
  </si>
  <si>
    <t>THG-Emission Umbau Gebäudetechnik</t>
  </si>
  <si>
    <t>Jahre</t>
  </si>
  <si>
    <t xml:space="preserve">Budget </t>
  </si>
  <si>
    <t>Gesamtemission bis 2040:</t>
  </si>
  <si>
    <t>Ziel</t>
  </si>
  <si>
    <r>
      <t>kgCO</t>
    </r>
    <r>
      <rPr>
        <vertAlign val="subscript"/>
        <sz val="11"/>
        <color theme="1"/>
        <rFont val="Calibri"/>
        <family val="2"/>
        <scheme val="minor"/>
      </rPr>
      <t>2</t>
    </r>
    <r>
      <rPr>
        <sz val="11"/>
        <color theme="1"/>
        <rFont val="Calibri"/>
        <family val="2"/>
        <scheme val="minor"/>
      </rPr>
      <t>eq/m² eingehalten?</t>
    </r>
  </si>
  <si>
    <t>Emission im Jahr 2041:</t>
  </si>
  <si>
    <r>
      <t>kgCO</t>
    </r>
    <r>
      <rPr>
        <vertAlign val="subscript"/>
        <sz val="11"/>
        <color theme="1"/>
        <rFont val="Calibri"/>
        <family val="2"/>
        <scheme val="minor"/>
      </rPr>
      <t>2</t>
    </r>
    <r>
      <rPr>
        <sz val="11"/>
        <color theme="1"/>
        <rFont val="Calibri"/>
        <family val="2"/>
        <scheme val="minor"/>
      </rPr>
      <t>eq/m²a eingehalten?</t>
    </r>
  </si>
  <si>
    <t>(50 - 200)</t>
  </si>
  <si>
    <t>Gebäudealter bei der Sanierung:</t>
  </si>
  <si>
    <t>Rechenwerte:</t>
  </si>
  <si>
    <t>THG-Emission für die Sanierung</t>
  </si>
  <si>
    <t>(0,6 - 0,9)</t>
  </si>
  <si>
    <t>Heizenergiebedarf</t>
  </si>
  <si>
    <t>Systemwirkungsgrad derzeit</t>
  </si>
  <si>
    <t>Heizenergiebedarf derzeit</t>
  </si>
  <si>
    <t>Systemwirkungsgrad nach Sanierung</t>
  </si>
  <si>
    <t>Heizenergiebedarf nach Sanierung</t>
  </si>
  <si>
    <t>Systemwirkungsgrad Warmwasser</t>
  </si>
  <si>
    <t>(0,4 - 1,0)</t>
  </si>
  <si>
    <t>(7,5 - 30)</t>
  </si>
  <si>
    <t>Warmwasser-Energiebedarf</t>
  </si>
  <si>
    <t>(25 - 100)</t>
  </si>
  <si>
    <t>WW-Energiebedarf</t>
  </si>
  <si>
    <t>Gebäudetechnik Heizung</t>
  </si>
  <si>
    <r>
      <t>kgCO</t>
    </r>
    <r>
      <rPr>
        <vertAlign val="subscript"/>
        <sz val="8"/>
        <color theme="1" tint="0.499984740745262"/>
        <rFont val="Calibri"/>
        <family val="2"/>
        <scheme val="minor"/>
      </rPr>
      <t>2</t>
    </r>
    <r>
      <rPr>
        <sz val="8"/>
        <color theme="1" tint="0.499984740745262"/>
        <rFont val="Calibri"/>
        <family val="2"/>
        <scheme val="minor"/>
      </rPr>
      <t>/kWh</t>
    </r>
  </si>
  <si>
    <r>
      <t>kgCO</t>
    </r>
    <r>
      <rPr>
        <vertAlign val="subscript"/>
        <sz val="8"/>
        <color theme="1" tint="0.499984740745262"/>
        <rFont val="Calibri"/>
        <family val="2"/>
        <scheme val="minor"/>
      </rPr>
      <t>2</t>
    </r>
    <r>
      <rPr>
        <sz val="8"/>
        <color theme="1" tint="0.499984740745262"/>
        <rFont val="Calibri"/>
        <family val="2"/>
        <scheme val="minor"/>
      </rPr>
      <t>/m²a</t>
    </r>
  </si>
  <si>
    <t>WP JAZ 3</t>
  </si>
  <si>
    <t>WP JAZ 4</t>
  </si>
  <si>
    <t>WP JAZ 5</t>
  </si>
  <si>
    <t>Gebäudetechnik Warmwasser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</si>
</sst>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9"/>
      <color indexed="81"/>
      <name val="Segoe UI"/>
      <family val="2"/>
    </font>
    <font>
      <sz val="11"/>
      <color rgb="FF3F3F76"/>
      <name val="Calibri"/>
      <family val="2"/>
      <scheme val="minor"/>
    </font>
    <font>
      <b/>
      <sz val="11"/>
      <color rgb="FFFA7D00"/>
      <name val="Calibri"/>
      <family val="2"/>
      <scheme val="minor"/>
    </font>
    <font>
      <b/>
      <sz val="11"/>
      <color theme="1"/>
      <name val="Calibri"/>
      <family val="2"/>
      <scheme val="minor"/>
    </font>
    <font>
      <vertAlign val="subscript"/>
      <sz val="11"/>
      <color theme="1"/>
      <name val="Calibri"/>
      <family val="2"/>
      <scheme val="minor"/>
    </font>
    <font>
      <sz val="11"/>
      <color theme="0" tint="-0.14999847407452621"/>
      <name val="Calibri"/>
      <family val="2"/>
      <scheme val="minor"/>
    </font>
    <font>
      <sz val="9"/>
      <color theme="1" tint="0.499984740745262"/>
      <name val="Calibri"/>
      <family val="2"/>
      <scheme val="minor"/>
    </font>
    <font>
      <sz val="8"/>
      <color theme="1" tint="0.499984740745262"/>
      <name val="Calibri"/>
      <family val="2"/>
      <scheme val="minor"/>
    </font>
    <font>
      <vertAlign val="subscript"/>
      <sz val="8"/>
      <color theme="1" tint="0.499984740745262"/>
      <name val="Calibri"/>
      <family val="2"/>
      <scheme val="min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theme="9" tint="0.79998168889431442"/>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double">
        <color theme="4"/>
      </bottom>
      <diagonal/>
    </border>
    <border>
      <left style="medium">
        <color indexed="64"/>
      </left>
      <right/>
      <top/>
      <bottom/>
      <diagonal/>
    </border>
    <border>
      <left/>
      <right style="medium">
        <color indexed="64"/>
      </right>
      <top style="thin">
        <color theme="4"/>
      </top>
      <bottom style="double">
        <color theme="4"/>
      </bottom>
      <diagonal/>
    </border>
    <border>
      <left style="medium">
        <color indexed="64"/>
      </left>
      <right/>
      <top/>
      <bottom style="medium">
        <color indexed="64"/>
      </bottom>
      <diagonal/>
    </border>
    <border>
      <left style="thin">
        <color rgb="FF7F7F7F"/>
      </left>
      <right style="thin">
        <color rgb="FF7F7F7F"/>
      </right>
      <top style="thin">
        <color rgb="FF7F7F7F"/>
      </top>
      <bottom style="medium">
        <color indexed="64"/>
      </bottom>
      <diagonal/>
    </border>
    <border>
      <left/>
      <right/>
      <top/>
      <bottom style="medium">
        <color indexed="64"/>
      </bottom>
      <diagonal/>
    </border>
    <border>
      <left/>
      <right style="medium">
        <color indexed="64"/>
      </right>
      <top style="thin">
        <color theme="4"/>
      </top>
      <bottom style="medium">
        <color indexed="64"/>
      </bottom>
      <diagonal/>
    </border>
  </borders>
  <cellStyleXfs count="4">
    <xf numFmtId="0" fontId="0" fillId="0" borderId="0"/>
    <xf numFmtId="0" fontId="2" fillId="2" borderId="1" applyNumberFormat="0" applyAlignment="0" applyProtection="0"/>
    <xf numFmtId="0" fontId="3" fillId="3" borderId="1" applyNumberFormat="0" applyAlignment="0" applyProtection="0"/>
    <xf numFmtId="0" fontId="4" fillId="0" borderId="2" applyNumberFormat="0" applyFill="0" applyAlignment="0" applyProtection="0"/>
  </cellStyleXfs>
  <cellXfs count="31">
    <xf numFmtId="0" fontId="0" fillId="0" borderId="0" xfId="0"/>
    <xf numFmtId="0" fontId="0" fillId="0" borderId="0" xfId="0" applyProtection="1"/>
    <xf numFmtId="0" fontId="0" fillId="0" borderId="0" xfId="0" applyAlignment="1" applyProtection="1"/>
    <xf numFmtId="0" fontId="6" fillId="0" borderId="0" xfId="0" applyFont="1" applyProtection="1"/>
    <xf numFmtId="1" fontId="3" fillId="3" borderId="1" xfId="2" applyNumberFormat="1" applyProtection="1"/>
    <xf numFmtId="0" fontId="3" fillId="3" borderId="1" xfId="2" applyProtection="1"/>
    <xf numFmtId="0" fontId="4" fillId="0" borderId="0" xfId="0" applyFont="1" applyProtection="1"/>
    <xf numFmtId="0" fontId="0" fillId="5" borderId="3" xfId="0" applyFill="1" applyBorder="1" applyProtection="1"/>
    <xf numFmtId="0" fontId="0" fillId="5" borderId="4" xfId="0" applyFill="1" applyBorder="1" applyProtection="1"/>
    <xf numFmtId="0" fontId="4" fillId="5" borderId="5" xfId="3" applyFill="1" applyBorder="1" applyProtection="1"/>
    <xf numFmtId="0" fontId="0" fillId="5" borderId="6" xfId="0" applyFill="1" applyBorder="1" applyProtection="1"/>
    <xf numFmtId="0" fontId="0" fillId="5" borderId="0" xfId="0" applyFill="1" applyBorder="1" applyProtection="1"/>
    <xf numFmtId="1" fontId="4" fillId="5" borderId="7" xfId="3" applyNumberFormat="1" applyFill="1" applyBorder="1" applyProtection="1"/>
    <xf numFmtId="0" fontId="4" fillId="5" borderId="7" xfId="3" applyFill="1" applyBorder="1" applyProtection="1"/>
    <xf numFmtId="0" fontId="0" fillId="5" borderId="8" xfId="0" applyFill="1" applyBorder="1" applyProtection="1"/>
    <xf numFmtId="0" fontId="0" fillId="5" borderId="10" xfId="0" applyFill="1" applyBorder="1" applyProtection="1"/>
    <xf numFmtId="0" fontId="4" fillId="5" borderId="11" xfId="3" applyFill="1" applyBorder="1" applyProtection="1"/>
    <xf numFmtId="0" fontId="7" fillId="0" borderId="0" xfId="0" applyFont="1" applyProtection="1"/>
    <xf numFmtId="0" fontId="2" fillId="2" borderId="1" xfId="1" applyBorder="1" applyProtection="1">
      <protection locked="0"/>
    </xf>
    <xf numFmtId="0" fontId="2" fillId="2" borderId="9" xfId="1" applyBorder="1" applyProtection="1">
      <protection locked="0"/>
    </xf>
    <xf numFmtId="0" fontId="2" fillId="2" borderId="1" xfId="1" applyProtection="1">
      <protection locked="0"/>
    </xf>
    <xf numFmtId="2" fontId="4" fillId="5" borderId="7" xfId="3" applyNumberFormat="1" applyFill="1" applyBorder="1" applyProtection="1"/>
    <xf numFmtId="0" fontId="8" fillId="0" borderId="0" xfId="0" applyFont="1" applyProtection="1"/>
    <xf numFmtId="1" fontId="8" fillId="0" borderId="0" xfId="0" applyNumberFormat="1" applyFont="1" applyProtection="1"/>
    <xf numFmtId="1" fontId="8" fillId="0" borderId="0" xfId="0" applyNumberFormat="1" applyFont="1" applyAlignment="1" applyProtection="1">
      <alignment horizontal="center"/>
    </xf>
    <xf numFmtId="2" fontId="8" fillId="0" borderId="0" xfId="0" applyNumberFormat="1" applyFont="1" applyProtection="1"/>
    <xf numFmtId="0" fontId="8" fillId="4" borderId="0" xfId="0" applyFont="1" applyFill="1" applyProtection="1"/>
    <xf numFmtId="164" fontId="8" fillId="4" borderId="0" xfId="0" applyNumberFormat="1" applyFont="1" applyFill="1" applyProtection="1"/>
    <xf numFmtId="164" fontId="8" fillId="0" borderId="0" xfId="0" applyNumberFormat="1" applyFont="1" applyProtection="1"/>
    <xf numFmtId="0" fontId="2" fillId="2" borderId="1" xfId="1" applyAlignment="1" applyProtection="1">
      <alignment horizontal="center"/>
      <protection locked="0"/>
    </xf>
    <xf numFmtId="1" fontId="3" fillId="3" borderId="1" xfId="2" applyNumberFormat="1" applyAlignment="1" applyProtection="1">
      <alignment horizontal="center"/>
    </xf>
  </cellXfs>
  <cellStyles count="4">
    <cellStyle name="Berechnung" xfId="2" builtinId="22"/>
    <cellStyle name="Eingabe" xfId="1" builtinId="20"/>
    <cellStyle name="Ergebnis" xfId="3" builtinId="25"/>
    <cellStyle name="Standard" xfId="0" builtinId="0"/>
  </cellStyles>
  <dxfs count="1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Sanierung!$A$34:$B$34</c:f>
              <c:strCache>
                <c:ptCount val="2"/>
                <c:pt idx="0">
                  <c:v>Gesamtemission</c:v>
                </c:pt>
                <c:pt idx="1">
                  <c:v>kgCO2/m²</c:v>
                </c:pt>
              </c:strCache>
            </c:strRef>
          </c:tx>
          <c:spPr>
            <a:solidFill>
              <a:schemeClr val="accent1"/>
            </a:solidFill>
            <a:ln>
              <a:noFill/>
            </a:ln>
            <a:effectLst/>
          </c:spPr>
          <c:invertIfNegative val="0"/>
          <c:cat>
            <c:numRef>
              <c:f>Sanierung!$C$24:$X$24</c:f>
              <c:numCache>
                <c:formatCode>General</c:formatCode>
                <c:ptCount val="2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numCache>
            </c:numRef>
          </c:cat>
          <c:val>
            <c:numRef>
              <c:f>Sanierung!$C$34:$X$34</c:f>
              <c:numCache>
                <c:formatCode>0.0</c:formatCode>
                <c:ptCount val="22"/>
                <c:pt idx="0">
                  <c:v>69.142857142857139</c:v>
                </c:pt>
                <c:pt idx="1">
                  <c:v>69.142857142857139</c:v>
                </c:pt>
                <c:pt idx="2">
                  <c:v>219.14285714285714</c:v>
                </c:pt>
                <c:pt idx="3">
                  <c:v>6.0290178571428577</c:v>
                </c:pt>
                <c:pt idx="4">
                  <c:v>5.7399553571428577</c:v>
                </c:pt>
                <c:pt idx="5">
                  <c:v>5.4508928571428577</c:v>
                </c:pt>
                <c:pt idx="6">
                  <c:v>5.1618303571428577</c:v>
                </c:pt>
                <c:pt idx="7">
                  <c:v>4.8727678571428577</c:v>
                </c:pt>
                <c:pt idx="8">
                  <c:v>4.5837053571428577</c:v>
                </c:pt>
                <c:pt idx="9">
                  <c:v>4.2946428571428577</c:v>
                </c:pt>
                <c:pt idx="10">
                  <c:v>4.0055803571428577</c:v>
                </c:pt>
                <c:pt idx="11">
                  <c:v>3.7165178571428572</c:v>
                </c:pt>
                <c:pt idx="12">
                  <c:v>3.4274553571428568</c:v>
                </c:pt>
                <c:pt idx="13">
                  <c:v>3.1383928571428577</c:v>
                </c:pt>
                <c:pt idx="14">
                  <c:v>2.8493303571428568</c:v>
                </c:pt>
                <c:pt idx="15">
                  <c:v>2.5602678571428577</c:v>
                </c:pt>
                <c:pt idx="16">
                  <c:v>2.2712053571428572</c:v>
                </c:pt>
                <c:pt idx="17">
                  <c:v>1.9821428571428572</c:v>
                </c:pt>
                <c:pt idx="18">
                  <c:v>1.693080357142857</c:v>
                </c:pt>
                <c:pt idx="19">
                  <c:v>1.4040178571428568</c:v>
                </c:pt>
                <c:pt idx="20">
                  <c:v>1.1149553571428572</c:v>
                </c:pt>
                <c:pt idx="21">
                  <c:v>0.82589285714285698</c:v>
                </c:pt>
              </c:numCache>
            </c:numRef>
          </c:val>
          <c:extLst>
            <c:ext xmlns:c16="http://schemas.microsoft.com/office/drawing/2014/chart" uri="{C3380CC4-5D6E-409C-BE32-E72D297353CC}">
              <c16:uniqueId val="{00000000-962E-455A-BE48-47F382E3DD2C}"/>
            </c:ext>
          </c:extLst>
        </c:ser>
        <c:dLbls>
          <c:showLegendKey val="0"/>
          <c:showVal val="0"/>
          <c:showCatName val="0"/>
          <c:showSerName val="0"/>
          <c:showPercent val="0"/>
          <c:showBubbleSize val="0"/>
        </c:dLbls>
        <c:gapWidth val="219"/>
        <c:overlap val="-27"/>
        <c:axId val="731616448"/>
        <c:axId val="731614152"/>
      </c:barChart>
      <c:lineChart>
        <c:grouping val="standard"/>
        <c:varyColors val="0"/>
        <c:ser>
          <c:idx val="1"/>
          <c:order val="1"/>
          <c:tx>
            <c:strRef>
              <c:f>Sanierung!$A$35:$B$35</c:f>
              <c:strCache>
                <c:ptCount val="2"/>
                <c:pt idx="0">
                  <c:v>Gesamtemission kumuliert</c:v>
                </c:pt>
                <c:pt idx="1">
                  <c:v>kgCO2/m²</c:v>
                </c:pt>
              </c:strCache>
            </c:strRef>
          </c:tx>
          <c:spPr>
            <a:ln w="28575" cap="rnd">
              <a:solidFill>
                <a:schemeClr val="accent2"/>
              </a:solidFill>
              <a:round/>
            </a:ln>
            <a:effectLst/>
          </c:spPr>
          <c:marker>
            <c:symbol val="none"/>
          </c:marker>
          <c:cat>
            <c:numRef>
              <c:f>Sanierung!$C$24:$X$24</c:f>
              <c:numCache>
                <c:formatCode>General</c:formatCode>
                <c:ptCount val="2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numCache>
            </c:numRef>
          </c:cat>
          <c:val>
            <c:numRef>
              <c:f>Sanierung!$C$35:$X$35</c:f>
              <c:numCache>
                <c:formatCode>0</c:formatCode>
                <c:ptCount val="22"/>
                <c:pt idx="0">
                  <c:v>69.142857142857139</c:v>
                </c:pt>
                <c:pt idx="1">
                  <c:v>138.28571428571428</c:v>
                </c:pt>
                <c:pt idx="2">
                  <c:v>357.42857142857144</c:v>
                </c:pt>
                <c:pt idx="3">
                  <c:v>363.45758928571428</c:v>
                </c:pt>
                <c:pt idx="4">
                  <c:v>369.19754464285711</c:v>
                </c:pt>
                <c:pt idx="5">
                  <c:v>374.64843749999994</c:v>
                </c:pt>
                <c:pt idx="6">
                  <c:v>379.81026785714278</c:v>
                </c:pt>
                <c:pt idx="7">
                  <c:v>384.68303571428561</c:v>
                </c:pt>
                <c:pt idx="8">
                  <c:v>389.26674107142844</c:v>
                </c:pt>
                <c:pt idx="9">
                  <c:v>393.56138392857127</c:v>
                </c:pt>
                <c:pt idx="10">
                  <c:v>397.56696428571411</c:v>
                </c:pt>
                <c:pt idx="11">
                  <c:v>401.28348214285694</c:v>
                </c:pt>
                <c:pt idx="12">
                  <c:v>404.71093749999977</c:v>
                </c:pt>
                <c:pt idx="13">
                  <c:v>407.84933035714261</c:v>
                </c:pt>
                <c:pt idx="14">
                  <c:v>410.69866071428544</c:v>
                </c:pt>
                <c:pt idx="15">
                  <c:v>413.25892857142827</c:v>
                </c:pt>
                <c:pt idx="16">
                  <c:v>415.5301339285711</c:v>
                </c:pt>
                <c:pt idx="17">
                  <c:v>417.51227678571394</c:v>
                </c:pt>
                <c:pt idx="18">
                  <c:v>419.20535714285677</c:v>
                </c:pt>
                <c:pt idx="19">
                  <c:v>420.6093749999996</c:v>
                </c:pt>
                <c:pt idx="20">
                  <c:v>421.72433035714243</c:v>
                </c:pt>
                <c:pt idx="21">
                  <c:v>422.55022321428527</c:v>
                </c:pt>
              </c:numCache>
            </c:numRef>
          </c:val>
          <c:smooth val="0"/>
          <c:extLst>
            <c:ext xmlns:c16="http://schemas.microsoft.com/office/drawing/2014/chart" uri="{C3380CC4-5D6E-409C-BE32-E72D297353CC}">
              <c16:uniqueId val="{00000001-962E-455A-BE48-47F382E3DD2C}"/>
            </c:ext>
          </c:extLst>
        </c:ser>
        <c:dLbls>
          <c:showLegendKey val="0"/>
          <c:showVal val="0"/>
          <c:showCatName val="0"/>
          <c:showSerName val="0"/>
          <c:showPercent val="0"/>
          <c:showBubbleSize val="0"/>
        </c:dLbls>
        <c:marker val="1"/>
        <c:smooth val="0"/>
        <c:axId val="731616448"/>
        <c:axId val="731614152"/>
      </c:lineChart>
      <c:catAx>
        <c:axId val="73161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1614152"/>
        <c:crosses val="autoZero"/>
        <c:auto val="1"/>
        <c:lblAlgn val="ctr"/>
        <c:lblOffset val="100"/>
        <c:noMultiLvlLbl val="0"/>
      </c:catAx>
      <c:valAx>
        <c:axId val="7316141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161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259977</xdr:colOff>
      <xdr:row>3</xdr:row>
      <xdr:rowOff>8965</xdr:rowOff>
    </xdr:from>
    <xdr:to>
      <xdr:col>24</xdr:col>
      <xdr:colOff>4482</xdr:colOff>
      <xdr:row>21</xdr:row>
      <xdr:rowOff>1</xdr:rowOff>
    </xdr:to>
    <xdr:graphicFrame macro="">
      <xdr:nvGraphicFramePr>
        <xdr:cNvPr id="3" name="Diagramm 2">
          <a:extLst>
            <a:ext uri="{FF2B5EF4-FFF2-40B4-BE49-F238E27FC236}">
              <a16:creationId xmlns:a16="http://schemas.microsoft.com/office/drawing/2014/main" id="{75BEEB1A-D331-41D9-B786-11873EC37C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60C9A-E941-4162-B3DB-A06259474116}">
  <dimension ref="A2:Y35"/>
  <sheetViews>
    <sheetView tabSelected="1" zoomScale="85" zoomScaleNormal="85" workbookViewId="0">
      <selection activeCell="C29" sqref="C29"/>
    </sheetView>
  </sheetViews>
  <sheetFormatPr baseColWidth="10" defaultRowHeight="14.4" x14ac:dyDescent="0.3"/>
  <cols>
    <col min="1" max="1" width="34.6640625" style="1" bestFit="1" customWidth="1"/>
    <col min="2" max="2" width="11.6640625" style="1" bestFit="1" customWidth="1"/>
    <col min="3" max="24" width="7.33203125" style="1" customWidth="1"/>
    <col min="25" max="25" width="6.88671875" style="1" customWidth="1"/>
    <col min="26" max="16384" width="11.5546875" style="1"/>
  </cols>
  <sheetData>
    <row r="2" spans="1:14" x14ac:dyDescent="0.3">
      <c r="A2" s="1" t="s">
        <v>10</v>
      </c>
      <c r="B2" s="1" t="s">
        <v>1</v>
      </c>
      <c r="C2" s="29">
        <v>200</v>
      </c>
      <c r="D2" s="29"/>
      <c r="E2" s="1" t="s">
        <v>11</v>
      </c>
      <c r="H2" s="1" t="s">
        <v>18</v>
      </c>
      <c r="M2" s="1" t="s">
        <v>30</v>
      </c>
      <c r="N2" s="1">
        <v>2040</v>
      </c>
    </row>
    <row r="3" spans="1:14" ht="15.6" x14ac:dyDescent="0.35">
      <c r="A3" s="1" t="s">
        <v>49</v>
      </c>
      <c r="B3" s="1" t="s">
        <v>5</v>
      </c>
      <c r="C3" s="29">
        <v>0.75</v>
      </c>
      <c r="D3" s="29"/>
      <c r="E3" s="1" t="s">
        <v>47</v>
      </c>
      <c r="H3" s="2" t="s">
        <v>19</v>
      </c>
      <c r="I3" s="2"/>
      <c r="J3" s="3"/>
      <c r="K3" s="1" t="s">
        <v>24</v>
      </c>
      <c r="M3" s="1">
        <v>310</v>
      </c>
      <c r="N3" s="1">
        <v>310</v>
      </c>
    </row>
    <row r="4" spans="1:14" ht="15.6" x14ac:dyDescent="0.35">
      <c r="A4" s="1" t="s">
        <v>50</v>
      </c>
      <c r="B4" s="1" t="s">
        <v>1</v>
      </c>
      <c r="C4" s="30">
        <f>C2/C3</f>
        <v>266.66666666666669</v>
      </c>
      <c r="D4" s="30"/>
      <c r="H4" s="2" t="s">
        <v>20</v>
      </c>
      <c r="I4" s="2"/>
      <c r="J4" s="3"/>
      <c r="K4" s="1" t="s">
        <v>24</v>
      </c>
      <c r="M4" s="1">
        <v>240</v>
      </c>
      <c r="N4" s="1">
        <v>240</v>
      </c>
    </row>
    <row r="5" spans="1:14" ht="15.6" x14ac:dyDescent="0.35">
      <c r="A5" s="1" t="s">
        <v>6</v>
      </c>
      <c r="B5" s="1" t="s">
        <v>5</v>
      </c>
      <c r="C5" s="29">
        <v>1975</v>
      </c>
      <c r="D5" s="29"/>
      <c r="E5" s="1" t="s">
        <v>12</v>
      </c>
      <c r="H5" s="2" t="s">
        <v>25</v>
      </c>
      <c r="I5" s="2"/>
      <c r="J5" s="3"/>
      <c r="K5" s="1" t="s">
        <v>24</v>
      </c>
      <c r="M5" s="20">
        <v>100</v>
      </c>
      <c r="N5" s="20">
        <v>50</v>
      </c>
    </row>
    <row r="6" spans="1:14" ht="15.6" x14ac:dyDescent="0.35">
      <c r="A6" s="1" t="s">
        <v>9</v>
      </c>
      <c r="B6" s="1" t="s">
        <v>1</v>
      </c>
      <c r="C6" s="29">
        <v>30</v>
      </c>
      <c r="D6" s="29"/>
      <c r="E6" s="1" t="s">
        <v>13</v>
      </c>
      <c r="H6" s="2" t="s">
        <v>21</v>
      </c>
      <c r="I6" s="2"/>
      <c r="J6" s="3"/>
      <c r="K6" s="1" t="s">
        <v>24</v>
      </c>
      <c r="M6" s="20">
        <v>30</v>
      </c>
      <c r="N6" s="20">
        <v>30</v>
      </c>
    </row>
    <row r="7" spans="1:14" ht="15.6" x14ac:dyDescent="0.35">
      <c r="A7" s="1" t="s">
        <v>51</v>
      </c>
      <c r="B7" s="1" t="s">
        <v>5</v>
      </c>
      <c r="C7" s="29">
        <v>0.8</v>
      </c>
      <c r="D7" s="29"/>
      <c r="E7" s="1" t="s">
        <v>47</v>
      </c>
      <c r="H7" s="2" t="s">
        <v>22</v>
      </c>
      <c r="I7" s="2"/>
      <c r="J7" s="3"/>
      <c r="K7" s="1" t="s">
        <v>24</v>
      </c>
      <c r="M7" s="20">
        <v>400</v>
      </c>
      <c r="N7" s="20">
        <v>50</v>
      </c>
    </row>
    <row r="8" spans="1:14" ht="15.6" x14ac:dyDescent="0.35">
      <c r="A8" s="1" t="s">
        <v>52</v>
      </c>
      <c r="B8" s="1" t="s">
        <v>1</v>
      </c>
      <c r="C8" s="30">
        <f>C6/C7</f>
        <v>37.5</v>
      </c>
      <c r="D8" s="30"/>
      <c r="H8" s="2" t="s">
        <v>62</v>
      </c>
      <c r="I8" s="2"/>
      <c r="J8" s="3"/>
      <c r="K8" s="1" t="s">
        <v>24</v>
      </c>
      <c r="M8" s="4">
        <f>M7/3</f>
        <v>133.33333333333334</v>
      </c>
      <c r="N8" s="4">
        <f>N7/3</f>
        <v>16.666666666666668</v>
      </c>
    </row>
    <row r="9" spans="1:14" ht="15.6" x14ac:dyDescent="0.35">
      <c r="A9" s="1" t="s">
        <v>7</v>
      </c>
      <c r="B9" s="1" t="s">
        <v>8</v>
      </c>
      <c r="C9" s="29">
        <v>2021</v>
      </c>
      <c r="D9" s="29"/>
      <c r="E9" s="1" t="s">
        <v>14</v>
      </c>
      <c r="H9" s="2" t="s">
        <v>63</v>
      </c>
      <c r="I9" s="2"/>
      <c r="J9" s="3"/>
      <c r="K9" s="1" t="s">
        <v>24</v>
      </c>
      <c r="M9" s="5">
        <f>M7/4</f>
        <v>100</v>
      </c>
      <c r="N9" s="5">
        <f>N7/4</f>
        <v>12.5</v>
      </c>
    </row>
    <row r="10" spans="1:14" ht="15.6" x14ac:dyDescent="0.35">
      <c r="A10" s="1" t="s">
        <v>46</v>
      </c>
      <c r="B10" s="1" t="s">
        <v>23</v>
      </c>
      <c r="C10" s="29">
        <v>100</v>
      </c>
      <c r="D10" s="29"/>
      <c r="E10" s="1" t="s">
        <v>43</v>
      </c>
      <c r="H10" s="2" t="s">
        <v>64</v>
      </c>
      <c r="I10" s="2"/>
      <c r="J10" s="3"/>
      <c r="K10" s="1" t="s">
        <v>24</v>
      </c>
      <c r="M10" s="5">
        <f>M7/5</f>
        <v>80</v>
      </c>
      <c r="N10" s="5">
        <f>N7/5</f>
        <v>10</v>
      </c>
    </row>
    <row r="11" spans="1:14" x14ac:dyDescent="0.3">
      <c r="A11" s="1" t="s">
        <v>31</v>
      </c>
      <c r="B11" s="1" t="s">
        <v>1</v>
      </c>
      <c r="C11" s="29">
        <v>15</v>
      </c>
      <c r="D11" s="29"/>
      <c r="E11" s="1" t="s">
        <v>55</v>
      </c>
      <c r="H11" s="2"/>
      <c r="I11" s="2"/>
      <c r="J11" s="3"/>
    </row>
    <row r="12" spans="1:14" x14ac:dyDescent="0.3">
      <c r="A12" s="1" t="s">
        <v>53</v>
      </c>
      <c r="B12" s="1" t="s">
        <v>8</v>
      </c>
      <c r="C12" s="29">
        <v>0.7</v>
      </c>
      <c r="D12" s="29"/>
      <c r="E12" s="1" t="s">
        <v>54</v>
      </c>
      <c r="H12" s="2"/>
      <c r="I12" s="2"/>
      <c r="J12" s="3"/>
    </row>
    <row r="13" spans="1:14" x14ac:dyDescent="0.3">
      <c r="A13" s="1" t="s">
        <v>56</v>
      </c>
      <c r="B13" s="1" t="s">
        <v>1</v>
      </c>
      <c r="C13" s="30">
        <f>C11/C12</f>
        <v>21.428571428571431</v>
      </c>
      <c r="D13" s="30"/>
    </row>
    <row r="14" spans="1:14" x14ac:dyDescent="0.3">
      <c r="A14" s="6" t="s">
        <v>15</v>
      </c>
    </row>
    <row r="15" spans="1:14" ht="15" thickBot="1" x14ac:dyDescent="0.35">
      <c r="A15" s="1" t="s">
        <v>16</v>
      </c>
      <c r="B15" s="1" t="s">
        <v>5</v>
      </c>
      <c r="C15" s="29" t="s">
        <v>20</v>
      </c>
      <c r="D15" s="29"/>
      <c r="E15" s="1" t="s">
        <v>28</v>
      </c>
    </row>
    <row r="16" spans="1:14" ht="15" thickBot="1" x14ac:dyDescent="0.35">
      <c r="A16" s="1" t="s">
        <v>17</v>
      </c>
      <c r="B16" s="1" t="s">
        <v>5</v>
      </c>
      <c r="C16" s="29" t="s">
        <v>20</v>
      </c>
      <c r="D16" s="29"/>
      <c r="E16" s="1" t="s">
        <v>28</v>
      </c>
      <c r="H16" s="7" t="s">
        <v>44</v>
      </c>
      <c r="I16" s="8"/>
      <c r="J16" s="8"/>
      <c r="K16" s="8"/>
      <c r="L16" s="8" t="s">
        <v>36</v>
      </c>
      <c r="M16" s="8"/>
      <c r="N16" s="9">
        <f>IF(ISNUMBER(C9),C9-C5,"")</f>
        <v>46</v>
      </c>
    </row>
    <row r="17" spans="1:25" ht="16.8" thickTop="1" thickBot="1" x14ac:dyDescent="0.4">
      <c r="A17" s="6" t="s">
        <v>26</v>
      </c>
      <c r="H17" s="10" t="s">
        <v>38</v>
      </c>
      <c r="I17" s="11"/>
      <c r="J17" s="11"/>
      <c r="K17" s="11"/>
      <c r="L17" s="11" t="s">
        <v>23</v>
      </c>
      <c r="M17" s="11"/>
      <c r="N17" s="12">
        <f>X35</f>
        <v>422.55022321428527</v>
      </c>
    </row>
    <row r="18" spans="1:25" ht="16.8" thickTop="1" thickBot="1" x14ac:dyDescent="0.4">
      <c r="A18" s="1" t="s">
        <v>16</v>
      </c>
      <c r="B18" s="1" t="s">
        <v>5</v>
      </c>
      <c r="C18" s="29" t="s">
        <v>63</v>
      </c>
      <c r="D18" s="29"/>
      <c r="E18" s="1" t="s">
        <v>28</v>
      </c>
      <c r="H18" s="10" t="s">
        <v>37</v>
      </c>
      <c r="I18" s="18">
        <v>440</v>
      </c>
      <c r="J18" s="11" t="s">
        <v>40</v>
      </c>
      <c r="K18" s="11"/>
      <c r="L18" s="11"/>
      <c r="M18" s="11"/>
      <c r="N18" s="13" t="str">
        <f>IF(N17&lt;I18,"JA","NEIN")</f>
        <v>JA</v>
      </c>
    </row>
    <row r="19" spans="1:25" ht="16.8" thickTop="1" thickBot="1" x14ac:dyDescent="0.4">
      <c r="A19" s="1" t="s">
        <v>17</v>
      </c>
      <c r="B19" s="1" t="s">
        <v>5</v>
      </c>
      <c r="C19" s="29" t="s">
        <v>62</v>
      </c>
      <c r="D19" s="29"/>
      <c r="E19" s="1" t="s">
        <v>28</v>
      </c>
      <c r="H19" s="10" t="s">
        <v>41</v>
      </c>
      <c r="I19" s="11"/>
      <c r="J19" s="11"/>
      <c r="K19" s="11"/>
      <c r="L19" s="11" t="s">
        <v>23</v>
      </c>
      <c r="M19" s="11"/>
      <c r="N19" s="21">
        <f>X28+X32</f>
        <v>0.82589285714285698</v>
      </c>
    </row>
    <row r="20" spans="1:25" ht="16.8" thickTop="1" thickBot="1" x14ac:dyDescent="0.4">
      <c r="A20" s="1" t="s">
        <v>27</v>
      </c>
      <c r="B20" s="1" t="s">
        <v>8</v>
      </c>
      <c r="C20" s="29">
        <v>2021</v>
      </c>
      <c r="D20" s="29"/>
      <c r="E20" s="1" t="s">
        <v>14</v>
      </c>
      <c r="H20" s="14" t="s">
        <v>39</v>
      </c>
      <c r="I20" s="19">
        <v>1.5</v>
      </c>
      <c r="J20" s="15" t="s">
        <v>42</v>
      </c>
      <c r="K20" s="15"/>
      <c r="L20" s="15"/>
      <c r="M20" s="15"/>
      <c r="N20" s="16" t="str">
        <f>IF(N19&lt;I20,"JA","NEIN")</f>
        <v>JA</v>
      </c>
    </row>
    <row r="21" spans="1:25" ht="15.6" x14ac:dyDescent="0.35">
      <c r="A21" s="1" t="s">
        <v>35</v>
      </c>
      <c r="B21" s="1" t="s">
        <v>23</v>
      </c>
      <c r="C21" s="29">
        <v>50</v>
      </c>
      <c r="D21" s="29"/>
      <c r="E21" s="1" t="s">
        <v>57</v>
      </c>
    </row>
    <row r="22" spans="1:25" ht="7.2" customHeight="1" x14ac:dyDescent="0.3"/>
    <row r="23" spans="1:25" ht="12.6" customHeight="1" x14ac:dyDescent="0.3">
      <c r="A23" s="22" t="s">
        <v>45</v>
      </c>
      <c r="B23" s="22"/>
      <c r="C23" s="22"/>
      <c r="D23" s="22"/>
      <c r="E23" s="22"/>
      <c r="F23" s="22"/>
      <c r="G23" s="22"/>
      <c r="H23" s="22"/>
      <c r="I23" s="22"/>
      <c r="J23" s="22"/>
      <c r="K23" s="22"/>
      <c r="L23" s="22"/>
      <c r="M23" s="22"/>
      <c r="N23" s="22"/>
      <c r="O23" s="22"/>
      <c r="P23" s="22"/>
      <c r="Q23" s="22"/>
      <c r="R23" s="22"/>
      <c r="S23" s="22"/>
      <c r="T23" s="22"/>
      <c r="U23" s="22"/>
      <c r="V23" s="22"/>
      <c r="W23" s="22"/>
      <c r="X23" s="22"/>
      <c r="Y23" s="17"/>
    </row>
    <row r="24" spans="1:25" ht="12.6" customHeight="1" x14ac:dyDescent="0.3">
      <c r="A24" s="22" t="s">
        <v>0</v>
      </c>
      <c r="B24" s="22"/>
      <c r="C24" s="22">
        <v>2019</v>
      </c>
      <c r="D24" s="22">
        <v>2020</v>
      </c>
      <c r="E24" s="22">
        <v>2021</v>
      </c>
      <c r="F24" s="22">
        <v>2022</v>
      </c>
      <c r="G24" s="22">
        <v>2023</v>
      </c>
      <c r="H24" s="22">
        <v>2024</v>
      </c>
      <c r="I24" s="22">
        <v>2025</v>
      </c>
      <c r="J24" s="22">
        <v>2026</v>
      </c>
      <c r="K24" s="22">
        <v>2027</v>
      </c>
      <c r="L24" s="22">
        <v>2028</v>
      </c>
      <c r="M24" s="22">
        <v>2029</v>
      </c>
      <c r="N24" s="22">
        <v>2030</v>
      </c>
      <c r="O24" s="22">
        <v>2031</v>
      </c>
      <c r="P24" s="22">
        <v>2032</v>
      </c>
      <c r="Q24" s="22">
        <v>2033</v>
      </c>
      <c r="R24" s="22">
        <v>2034</v>
      </c>
      <c r="S24" s="22">
        <v>2035</v>
      </c>
      <c r="T24" s="22">
        <v>2036</v>
      </c>
      <c r="U24" s="22">
        <v>2037</v>
      </c>
      <c r="V24" s="22">
        <v>2038</v>
      </c>
      <c r="W24" s="22">
        <v>2039</v>
      </c>
      <c r="X24" s="22">
        <v>2040</v>
      </c>
    </row>
    <row r="25" spans="1:25" ht="12.6" customHeight="1" x14ac:dyDescent="0.3">
      <c r="A25" s="22" t="s">
        <v>48</v>
      </c>
      <c r="B25" s="22" t="s">
        <v>1</v>
      </c>
      <c r="C25" s="23">
        <f>C4</f>
        <v>266.66666666666669</v>
      </c>
      <c r="D25" s="23">
        <f t="shared" ref="D25:X25" si="0">IF(AND(ISNUMBER($C$9),D24&gt;$C$9),$C$8,C25)</f>
        <v>266.66666666666669</v>
      </c>
      <c r="E25" s="23">
        <f t="shared" si="0"/>
        <v>266.66666666666669</v>
      </c>
      <c r="F25" s="23">
        <f t="shared" si="0"/>
        <v>37.5</v>
      </c>
      <c r="G25" s="23">
        <f t="shared" si="0"/>
        <v>37.5</v>
      </c>
      <c r="H25" s="23">
        <f t="shared" si="0"/>
        <v>37.5</v>
      </c>
      <c r="I25" s="23">
        <f t="shared" si="0"/>
        <v>37.5</v>
      </c>
      <c r="J25" s="23">
        <f t="shared" si="0"/>
        <v>37.5</v>
      </c>
      <c r="K25" s="23">
        <f t="shared" si="0"/>
        <v>37.5</v>
      </c>
      <c r="L25" s="23">
        <f t="shared" si="0"/>
        <v>37.5</v>
      </c>
      <c r="M25" s="23">
        <f t="shared" si="0"/>
        <v>37.5</v>
      </c>
      <c r="N25" s="23">
        <f t="shared" si="0"/>
        <v>37.5</v>
      </c>
      <c r="O25" s="23">
        <f t="shared" si="0"/>
        <v>37.5</v>
      </c>
      <c r="P25" s="23">
        <f t="shared" si="0"/>
        <v>37.5</v>
      </c>
      <c r="Q25" s="23">
        <f t="shared" si="0"/>
        <v>37.5</v>
      </c>
      <c r="R25" s="23">
        <f t="shared" si="0"/>
        <v>37.5</v>
      </c>
      <c r="S25" s="23">
        <f t="shared" si="0"/>
        <v>37.5</v>
      </c>
      <c r="T25" s="23">
        <f t="shared" si="0"/>
        <v>37.5</v>
      </c>
      <c r="U25" s="23">
        <f t="shared" si="0"/>
        <v>37.5</v>
      </c>
      <c r="V25" s="23">
        <f t="shared" si="0"/>
        <v>37.5</v>
      </c>
      <c r="W25" s="23">
        <f t="shared" si="0"/>
        <v>37.5</v>
      </c>
      <c r="X25" s="23">
        <f t="shared" si="0"/>
        <v>37.5</v>
      </c>
    </row>
    <row r="26" spans="1:25" ht="12.6" customHeight="1" x14ac:dyDescent="0.3">
      <c r="A26" s="22" t="s">
        <v>59</v>
      </c>
      <c r="B26" s="22" t="s">
        <v>5</v>
      </c>
      <c r="C26" s="24" t="str">
        <f>C15</f>
        <v>Gas</v>
      </c>
      <c r="D26" s="24" t="str">
        <f>IF(AND(ISNUMBER($C$20),D24&gt;$C$20),$C$18,C26)</f>
        <v>Gas</v>
      </c>
      <c r="E26" s="24" t="str">
        <f t="shared" ref="E26:X26" si="1">IF(AND(ISNUMBER($C$20),E24&gt;$C$20),$C$18,D26)</f>
        <v>Gas</v>
      </c>
      <c r="F26" s="24" t="str">
        <f t="shared" si="1"/>
        <v>WP JAZ 4</v>
      </c>
      <c r="G26" s="24" t="str">
        <f t="shared" si="1"/>
        <v>WP JAZ 4</v>
      </c>
      <c r="H26" s="24" t="str">
        <f t="shared" si="1"/>
        <v>WP JAZ 4</v>
      </c>
      <c r="I26" s="24" t="str">
        <f t="shared" si="1"/>
        <v>WP JAZ 4</v>
      </c>
      <c r="J26" s="24" t="str">
        <f t="shared" si="1"/>
        <v>WP JAZ 4</v>
      </c>
      <c r="K26" s="24" t="str">
        <f t="shared" si="1"/>
        <v>WP JAZ 4</v>
      </c>
      <c r="L26" s="24" t="str">
        <f t="shared" si="1"/>
        <v>WP JAZ 4</v>
      </c>
      <c r="M26" s="24" t="str">
        <f t="shared" si="1"/>
        <v>WP JAZ 4</v>
      </c>
      <c r="N26" s="24" t="str">
        <f t="shared" si="1"/>
        <v>WP JAZ 4</v>
      </c>
      <c r="O26" s="24" t="str">
        <f t="shared" si="1"/>
        <v>WP JAZ 4</v>
      </c>
      <c r="P26" s="24" t="str">
        <f t="shared" si="1"/>
        <v>WP JAZ 4</v>
      </c>
      <c r="Q26" s="24" t="str">
        <f t="shared" si="1"/>
        <v>WP JAZ 4</v>
      </c>
      <c r="R26" s="24" t="str">
        <f t="shared" si="1"/>
        <v>WP JAZ 4</v>
      </c>
      <c r="S26" s="24" t="str">
        <f t="shared" si="1"/>
        <v>WP JAZ 4</v>
      </c>
      <c r="T26" s="24" t="str">
        <f t="shared" si="1"/>
        <v>WP JAZ 4</v>
      </c>
      <c r="U26" s="24" t="str">
        <f t="shared" si="1"/>
        <v>WP JAZ 4</v>
      </c>
      <c r="V26" s="24" t="str">
        <f t="shared" si="1"/>
        <v>WP JAZ 4</v>
      </c>
      <c r="W26" s="24" t="str">
        <f t="shared" si="1"/>
        <v>WP JAZ 4</v>
      </c>
      <c r="X26" s="24" t="str">
        <f t="shared" si="1"/>
        <v>WP JAZ 4</v>
      </c>
    </row>
    <row r="27" spans="1:25" ht="12.6" customHeight="1" x14ac:dyDescent="0.3">
      <c r="A27" s="22" t="s">
        <v>29</v>
      </c>
      <c r="B27" s="22" t="s">
        <v>60</v>
      </c>
      <c r="C27" s="25">
        <f>VLOOKUP($C$15,$H$3:$O$12,6,FALSE)/1000</f>
        <v>0.24</v>
      </c>
      <c r="D27" s="25">
        <f>VLOOKUP(D26,$H$3:$O$12,6,FALSE)/1000-(D24-2020)/20*(VLOOKUP(D26,$H$3:$O$12,6,FALSE)/1000-VLOOKUP(D26,$H$3:$O$12,7,FALSE)/1000)</f>
        <v>0.24</v>
      </c>
      <c r="E27" s="25">
        <f t="shared" ref="E27:X27" si="2">VLOOKUP(E26,$H$3:$O$12,6,FALSE)/1000-(E24-2020)/20*(VLOOKUP(E26,$H$3:$O$12,6,FALSE)/1000-VLOOKUP(E26,$H$3:$O$12,7,FALSE)/1000)</f>
        <v>0.24</v>
      </c>
      <c r="F27" s="25">
        <f t="shared" si="2"/>
        <v>9.1249999999999998E-2</v>
      </c>
      <c r="G27" s="25">
        <f t="shared" si="2"/>
        <v>8.6875000000000008E-2</v>
      </c>
      <c r="H27" s="25">
        <f t="shared" si="2"/>
        <v>8.2500000000000004E-2</v>
      </c>
      <c r="I27" s="25">
        <f t="shared" si="2"/>
        <v>7.8125E-2</v>
      </c>
      <c r="J27" s="25">
        <f t="shared" si="2"/>
        <v>7.375000000000001E-2</v>
      </c>
      <c r="K27" s="25">
        <f t="shared" si="2"/>
        <v>6.9375000000000006E-2</v>
      </c>
      <c r="L27" s="25">
        <f t="shared" si="2"/>
        <v>6.5000000000000002E-2</v>
      </c>
      <c r="M27" s="25">
        <f t="shared" si="2"/>
        <v>6.0624999999999998E-2</v>
      </c>
      <c r="N27" s="25">
        <f t="shared" si="2"/>
        <v>5.6250000000000001E-2</v>
      </c>
      <c r="O27" s="25">
        <f t="shared" si="2"/>
        <v>5.1874999999999998E-2</v>
      </c>
      <c r="P27" s="25">
        <f t="shared" si="2"/>
        <v>4.7500000000000001E-2</v>
      </c>
      <c r="Q27" s="25">
        <f t="shared" si="2"/>
        <v>4.3124999999999997E-2</v>
      </c>
      <c r="R27" s="25">
        <f t="shared" si="2"/>
        <v>3.8750000000000007E-2</v>
      </c>
      <c r="S27" s="25">
        <f t="shared" si="2"/>
        <v>3.4375000000000003E-2</v>
      </c>
      <c r="T27" s="25">
        <f t="shared" si="2"/>
        <v>0.03</v>
      </c>
      <c r="U27" s="25">
        <f t="shared" si="2"/>
        <v>2.5624999999999995E-2</v>
      </c>
      <c r="V27" s="25">
        <f t="shared" si="2"/>
        <v>2.1249999999999991E-2</v>
      </c>
      <c r="W27" s="25">
        <f t="shared" si="2"/>
        <v>1.6875000000000001E-2</v>
      </c>
      <c r="X27" s="25">
        <f t="shared" si="2"/>
        <v>1.2499999999999997E-2</v>
      </c>
    </row>
    <row r="28" spans="1:25" ht="12.6" customHeight="1" x14ac:dyDescent="0.3">
      <c r="A28" s="26" t="s">
        <v>32</v>
      </c>
      <c r="B28" s="26" t="s">
        <v>61</v>
      </c>
      <c r="C28" s="27">
        <f>C25*C27</f>
        <v>64</v>
      </c>
      <c r="D28" s="27">
        <f t="shared" ref="D28:X28" si="3">D25*D27</f>
        <v>64</v>
      </c>
      <c r="E28" s="27">
        <f t="shared" si="3"/>
        <v>64</v>
      </c>
      <c r="F28" s="27">
        <f t="shared" si="3"/>
        <v>3.421875</v>
      </c>
      <c r="G28" s="27">
        <f t="shared" si="3"/>
        <v>3.2578125000000004</v>
      </c>
      <c r="H28" s="27">
        <f t="shared" si="3"/>
        <v>3.09375</v>
      </c>
      <c r="I28" s="27">
        <f t="shared" si="3"/>
        <v>2.9296875</v>
      </c>
      <c r="J28" s="27">
        <f t="shared" si="3"/>
        <v>2.7656250000000004</v>
      </c>
      <c r="K28" s="27">
        <f t="shared" si="3"/>
        <v>2.6015625000000004</v>
      </c>
      <c r="L28" s="27">
        <f t="shared" si="3"/>
        <v>2.4375</v>
      </c>
      <c r="M28" s="27">
        <f t="shared" si="3"/>
        <v>2.2734375</v>
      </c>
      <c r="N28" s="27">
        <f t="shared" si="3"/>
        <v>2.109375</v>
      </c>
      <c r="O28" s="27">
        <f t="shared" si="3"/>
        <v>1.9453125</v>
      </c>
      <c r="P28" s="27">
        <f t="shared" si="3"/>
        <v>1.78125</v>
      </c>
      <c r="Q28" s="27">
        <f t="shared" si="3"/>
        <v>1.6171874999999998</v>
      </c>
      <c r="R28" s="27">
        <f t="shared" si="3"/>
        <v>1.4531250000000002</v>
      </c>
      <c r="S28" s="27">
        <f t="shared" si="3"/>
        <v>1.2890625</v>
      </c>
      <c r="T28" s="27">
        <f t="shared" si="3"/>
        <v>1.125</v>
      </c>
      <c r="U28" s="27">
        <f t="shared" si="3"/>
        <v>0.96093749999999978</v>
      </c>
      <c r="V28" s="27">
        <f t="shared" si="3"/>
        <v>0.79687499999999967</v>
      </c>
      <c r="W28" s="27">
        <f t="shared" si="3"/>
        <v>0.6328125</v>
      </c>
      <c r="X28" s="27">
        <f t="shared" si="3"/>
        <v>0.46874999999999989</v>
      </c>
    </row>
    <row r="29" spans="1:25" ht="12.6" customHeight="1" x14ac:dyDescent="0.3">
      <c r="A29" s="22" t="s">
        <v>58</v>
      </c>
      <c r="B29" s="22" t="s">
        <v>1</v>
      </c>
      <c r="C29" s="23">
        <f>C13</f>
        <v>21.428571428571431</v>
      </c>
      <c r="D29" s="23">
        <f>C29</f>
        <v>21.428571428571431</v>
      </c>
      <c r="E29" s="23">
        <f t="shared" ref="E29:X29" si="4">D29</f>
        <v>21.428571428571431</v>
      </c>
      <c r="F29" s="23">
        <f>E29</f>
        <v>21.428571428571431</v>
      </c>
      <c r="G29" s="23">
        <f t="shared" si="4"/>
        <v>21.428571428571431</v>
      </c>
      <c r="H29" s="23">
        <f t="shared" si="4"/>
        <v>21.428571428571431</v>
      </c>
      <c r="I29" s="23">
        <f t="shared" si="4"/>
        <v>21.428571428571431</v>
      </c>
      <c r="J29" s="23">
        <f t="shared" si="4"/>
        <v>21.428571428571431</v>
      </c>
      <c r="K29" s="23">
        <f t="shared" si="4"/>
        <v>21.428571428571431</v>
      </c>
      <c r="L29" s="23">
        <f t="shared" si="4"/>
        <v>21.428571428571431</v>
      </c>
      <c r="M29" s="23">
        <f t="shared" si="4"/>
        <v>21.428571428571431</v>
      </c>
      <c r="N29" s="23">
        <f t="shared" si="4"/>
        <v>21.428571428571431</v>
      </c>
      <c r="O29" s="23">
        <f t="shared" si="4"/>
        <v>21.428571428571431</v>
      </c>
      <c r="P29" s="23">
        <f t="shared" si="4"/>
        <v>21.428571428571431</v>
      </c>
      <c r="Q29" s="23">
        <f t="shared" si="4"/>
        <v>21.428571428571431</v>
      </c>
      <c r="R29" s="23">
        <f t="shared" si="4"/>
        <v>21.428571428571431</v>
      </c>
      <c r="S29" s="23">
        <f t="shared" si="4"/>
        <v>21.428571428571431</v>
      </c>
      <c r="T29" s="23">
        <f t="shared" si="4"/>
        <v>21.428571428571431</v>
      </c>
      <c r="U29" s="23">
        <f t="shared" si="4"/>
        <v>21.428571428571431</v>
      </c>
      <c r="V29" s="23">
        <f t="shared" si="4"/>
        <v>21.428571428571431</v>
      </c>
      <c r="W29" s="23">
        <f t="shared" si="4"/>
        <v>21.428571428571431</v>
      </c>
      <c r="X29" s="23">
        <f t="shared" si="4"/>
        <v>21.428571428571431</v>
      </c>
    </row>
    <row r="30" spans="1:25" ht="12.6" customHeight="1" x14ac:dyDescent="0.3">
      <c r="A30" s="22" t="s">
        <v>65</v>
      </c>
      <c r="B30" s="22" t="s">
        <v>5</v>
      </c>
      <c r="C30" s="24" t="str">
        <f>C16</f>
        <v>Gas</v>
      </c>
      <c r="D30" s="24" t="str">
        <f>IF(AND(ISNUMBER($C$20),D24&gt;$C$20),$C$19,C30)</f>
        <v>Gas</v>
      </c>
      <c r="E30" s="24" t="str">
        <f t="shared" ref="E30:X30" si="5">IF(AND(ISNUMBER($C$20),E24&gt;$C$20),$C$19,D30)</f>
        <v>Gas</v>
      </c>
      <c r="F30" s="24" t="str">
        <f t="shared" si="5"/>
        <v>WP JAZ 3</v>
      </c>
      <c r="G30" s="24" t="str">
        <f t="shared" si="5"/>
        <v>WP JAZ 3</v>
      </c>
      <c r="H30" s="24" t="str">
        <f t="shared" si="5"/>
        <v>WP JAZ 3</v>
      </c>
      <c r="I30" s="24" t="str">
        <f t="shared" si="5"/>
        <v>WP JAZ 3</v>
      </c>
      <c r="J30" s="24" t="str">
        <f t="shared" si="5"/>
        <v>WP JAZ 3</v>
      </c>
      <c r="K30" s="24" t="str">
        <f t="shared" si="5"/>
        <v>WP JAZ 3</v>
      </c>
      <c r="L30" s="24" t="str">
        <f t="shared" si="5"/>
        <v>WP JAZ 3</v>
      </c>
      <c r="M30" s="24" t="str">
        <f t="shared" si="5"/>
        <v>WP JAZ 3</v>
      </c>
      <c r="N30" s="24" t="str">
        <f t="shared" si="5"/>
        <v>WP JAZ 3</v>
      </c>
      <c r="O30" s="24" t="str">
        <f t="shared" si="5"/>
        <v>WP JAZ 3</v>
      </c>
      <c r="P30" s="24" t="str">
        <f t="shared" si="5"/>
        <v>WP JAZ 3</v>
      </c>
      <c r="Q30" s="24" t="str">
        <f t="shared" si="5"/>
        <v>WP JAZ 3</v>
      </c>
      <c r="R30" s="24" t="str">
        <f t="shared" si="5"/>
        <v>WP JAZ 3</v>
      </c>
      <c r="S30" s="24" t="str">
        <f t="shared" si="5"/>
        <v>WP JAZ 3</v>
      </c>
      <c r="T30" s="24" t="str">
        <f t="shared" si="5"/>
        <v>WP JAZ 3</v>
      </c>
      <c r="U30" s="24" t="str">
        <f t="shared" si="5"/>
        <v>WP JAZ 3</v>
      </c>
      <c r="V30" s="24" t="str">
        <f t="shared" si="5"/>
        <v>WP JAZ 3</v>
      </c>
      <c r="W30" s="24" t="str">
        <f t="shared" si="5"/>
        <v>WP JAZ 3</v>
      </c>
      <c r="X30" s="24" t="str">
        <f t="shared" si="5"/>
        <v>WP JAZ 3</v>
      </c>
    </row>
    <row r="31" spans="1:25" ht="12.6" customHeight="1" x14ac:dyDescent="0.3">
      <c r="A31" s="22" t="s">
        <v>29</v>
      </c>
      <c r="B31" s="22" t="s">
        <v>60</v>
      </c>
      <c r="C31" s="25">
        <f>VLOOKUP($C$16,$H$3:$O$12,6,FALSE)/1000</f>
        <v>0.24</v>
      </c>
      <c r="D31" s="25">
        <f>VLOOKUP(D30,$H$3:$O$12,6,FALSE)/1000-(D24-2020)/20*(VLOOKUP(D30,$H$3:$O$12,6,FALSE)/1000-VLOOKUP(D30,$H$3:$O$12,7,FALSE)/1000)</f>
        <v>0.24</v>
      </c>
      <c r="E31" s="25">
        <f t="shared" ref="E31:X31" si="6">VLOOKUP(E30,$H$3:$O$12,6,FALSE)/1000-(E24-2020)/20*(VLOOKUP(E30,$H$3:$O$12,6,FALSE)/1000-VLOOKUP(E30,$H$3:$O$12,7,FALSE)/1000)</f>
        <v>0.24</v>
      </c>
      <c r="F31" s="25">
        <f t="shared" si="6"/>
        <v>0.12166666666666666</v>
      </c>
      <c r="G31" s="25">
        <f t="shared" si="6"/>
        <v>0.11583333333333333</v>
      </c>
      <c r="H31" s="25">
        <f t="shared" si="6"/>
        <v>0.11</v>
      </c>
      <c r="I31" s="25">
        <f t="shared" si="6"/>
        <v>0.10416666666666666</v>
      </c>
      <c r="J31" s="25">
        <f t="shared" si="6"/>
        <v>9.8333333333333328E-2</v>
      </c>
      <c r="K31" s="25">
        <f t="shared" si="6"/>
        <v>9.2499999999999999E-2</v>
      </c>
      <c r="L31" s="25">
        <f t="shared" si="6"/>
        <v>8.666666666666667E-2</v>
      </c>
      <c r="M31" s="25">
        <f t="shared" si="6"/>
        <v>8.0833333333333326E-2</v>
      </c>
      <c r="N31" s="25">
        <f t="shared" si="6"/>
        <v>7.4999999999999997E-2</v>
      </c>
      <c r="O31" s="25">
        <f t="shared" si="6"/>
        <v>6.9166666666666654E-2</v>
      </c>
      <c r="P31" s="25">
        <f t="shared" si="6"/>
        <v>6.3333333333333339E-2</v>
      </c>
      <c r="Q31" s="25">
        <f t="shared" si="6"/>
        <v>5.7499999999999996E-2</v>
      </c>
      <c r="R31" s="25">
        <f t="shared" si="6"/>
        <v>5.1666666666666666E-2</v>
      </c>
      <c r="S31" s="25">
        <f t="shared" si="6"/>
        <v>4.5833333333333337E-2</v>
      </c>
      <c r="T31" s="25">
        <f t="shared" si="6"/>
        <v>3.9999999999999994E-2</v>
      </c>
      <c r="U31" s="25">
        <f t="shared" si="6"/>
        <v>3.4166666666666665E-2</v>
      </c>
      <c r="V31" s="25">
        <f t="shared" si="6"/>
        <v>2.8333333333333321E-2</v>
      </c>
      <c r="W31" s="25">
        <f t="shared" si="6"/>
        <v>2.2500000000000006E-2</v>
      </c>
      <c r="X31" s="25">
        <f t="shared" si="6"/>
        <v>1.6666666666666663E-2</v>
      </c>
    </row>
    <row r="32" spans="1:25" ht="12.6" customHeight="1" x14ac:dyDescent="0.3">
      <c r="A32" s="26" t="s">
        <v>33</v>
      </c>
      <c r="B32" s="26" t="s">
        <v>61</v>
      </c>
      <c r="C32" s="27">
        <f>C29*C31</f>
        <v>5.1428571428571432</v>
      </c>
      <c r="D32" s="27">
        <f t="shared" ref="D32" si="7">D29*D31</f>
        <v>5.1428571428571432</v>
      </c>
      <c r="E32" s="27">
        <f t="shared" ref="E32" si="8">E29*E31</f>
        <v>5.1428571428571432</v>
      </c>
      <c r="F32" s="27">
        <f t="shared" ref="F32" si="9">F29*F31</f>
        <v>2.6071428571428572</v>
      </c>
      <c r="G32" s="27">
        <f t="shared" ref="G32" si="10">G29*G31</f>
        <v>2.4821428571428572</v>
      </c>
      <c r="H32" s="27">
        <f t="shared" ref="H32" si="11">H29*H31</f>
        <v>2.3571428571428572</v>
      </c>
      <c r="I32" s="27">
        <f t="shared" ref="I32" si="12">I29*I31</f>
        <v>2.2321428571428572</v>
      </c>
      <c r="J32" s="27">
        <f t="shared" ref="J32" si="13">J29*J31</f>
        <v>2.1071428571428572</v>
      </c>
      <c r="K32" s="27">
        <f t="shared" ref="K32" si="14">K29*K31</f>
        <v>1.9821428571428572</v>
      </c>
      <c r="L32" s="27">
        <f t="shared" ref="L32" si="15">L29*L31</f>
        <v>1.8571428571428574</v>
      </c>
      <c r="M32" s="27">
        <f t="shared" ref="M32" si="16">M29*M31</f>
        <v>1.7321428571428572</v>
      </c>
      <c r="N32" s="27">
        <f t="shared" ref="N32" si="17">N29*N31</f>
        <v>1.6071428571428572</v>
      </c>
      <c r="O32" s="27">
        <f t="shared" ref="O32" si="18">O29*O31</f>
        <v>1.482142857142857</v>
      </c>
      <c r="P32" s="27">
        <f t="shared" ref="P32" si="19">P29*P31</f>
        <v>1.3571428571428574</v>
      </c>
      <c r="Q32" s="27">
        <f t="shared" ref="Q32" si="20">Q29*Q31</f>
        <v>1.2321428571428572</v>
      </c>
      <c r="R32" s="27">
        <f t="shared" ref="R32" si="21">R29*R31</f>
        <v>1.1071428571428572</v>
      </c>
      <c r="S32" s="27">
        <f t="shared" ref="S32" si="22">S29*S31</f>
        <v>0.98214285714285732</v>
      </c>
      <c r="T32" s="27">
        <f t="shared" ref="T32" si="23">T29*T31</f>
        <v>0.8571428571428571</v>
      </c>
      <c r="U32" s="27">
        <f t="shared" ref="U32" si="24">U29*U31</f>
        <v>0.73214285714285721</v>
      </c>
      <c r="V32" s="27">
        <f t="shared" ref="V32" si="25">V29*V31</f>
        <v>0.60714285714285698</v>
      </c>
      <c r="W32" s="27">
        <f t="shared" ref="W32" si="26">W29*W31</f>
        <v>0.48214285714285732</v>
      </c>
      <c r="X32" s="27">
        <f t="shared" ref="X32" si="27">X29*X31</f>
        <v>0.3571428571428571</v>
      </c>
    </row>
    <row r="33" spans="1:24" ht="12.6" customHeight="1" x14ac:dyDescent="0.3">
      <c r="A33" s="22" t="s">
        <v>34</v>
      </c>
      <c r="B33" s="22" t="s">
        <v>2</v>
      </c>
      <c r="C33" s="22">
        <f t="shared" ref="C33:X33" si="28">IF(AND(ISNUMBER($C$9),C24=$C$9),$C$10)+IF(AND(ISNUMBER($C$20),C24=$C$20),$C$21)</f>
        <v>0</v>
      </c>
      <c r="D33" s="22">
        <f t="shared" si="28"/>
        <v>0</v>
      </c>
      <c r="E33" s="22">
        <f t="shared" si="28"/>
        <v>150</v>
      </c>
      <c r="F33" s="22">
        <f t="shared" si="28"/>
        <v>0</v>
      </c>
      <c r="G33" s="22">
        <f t="shared" si="28"/>
        <v>0</v>
      </c>
      <c r="H33" s="22">
        <f t="shared" si="28"/>
        <v>0</v>
      </c>
      <c r="I33" s="22">
        <f t="shared" si="28"/>
        <v>0</v>
      </c>
      <c r="J33" s="22">
        <f t="shared" si="28"/>
        <v>0</v>
      </c>
      <c r="K33" s="22">
        <f t="shared" si="28"/>
        <v>0</v>
      </c>
      <c r="L33" s="22">
        <f t="shared" si="28"/>
        <v>0</v>
      </c>
      <c r="M33" s="22">
        <f t="shared" si="28"/>
        <v>0</v>
      </c>
      <c r="N33" s="22">
        <f t="shared" si="28"/>
        <v>0</v>
      </c>
      <c r="O33" s="22">
        <f t="shared" si="28"/>
        <v>0</v>
      </c>
      <c r="P33" s="22">
        <f t="shared" si="28"/>
        <v>0</v>
      </c>
      <c r="Q33" s="22">
        <f t="shared" si="28"/>
        <v>0</v>
      </c>
      <c r="R33" s="22">
        <f t="shared" si="28"/>
        <v>0</v>
      </c>
      <c r="S33" s="22">
        <f t="shared" si="28"/>
        <v>0</v>
      </c>
      <c r="T33" s="22">
        <f t="shared" si="28"/>
        <v>0</v>
      </c>
      <c r="U33" s="22">
        <f t="shared" si="28"/>
        <v>0</v>
      </c>
      <c r="V33" s="22">
        <f t="shared" si="28"/>
        <v>0</v>
      </c>
      <c r="W33" s="22">
        <f t="shared" si="28"/>
        <v>0</v>
      </c>
      <c r="X33" s="22">
        <f t="shared" si="28"/>
        <v>0</v>
      </c>
    </row>
    <row r="34" spans="1:24" ht="12.6" customHeight="1" x14ac:dyDescent="0.3">
      <c r="A34" s="22" t="s">
        <v>3</v>
      </c>
      <c r="B34" s="22" t="s">
        <v>2</v>
      </c>
      <c r="C34" s="28">
        <f>C28+C32+C33</f>
        <v>69.142857142857139</v>
      </c>
      <c r="D34" s="28">
        <f t="shared" ref="D34:X34" si="29">D28+D32+D33</f>
        <v>69.142857142857139</v>
      </c>
      <c r="E34" s="28">
        <f t="shared" si="29"/>
        <v>219.14285714285714</v>
      </c>
      <c r="F34" s="28">
        <f t="shared" si="29"/>
        <v>6.0290178571428577</v>
      </c>
      <c r="G34" s="28">
        <f t="shared" si="29"/>
        <v>5.7399553571428577</v>
      </c>
      <c r="H34" s="28">
        <f t="shared" si="29"/>
        <v>5.4508928571428577</v>
      </c>
      <c r="I34" s="28">
        <f t="shared" si="29"/>
        <v>5.1618303571428577</v>
      </c>
      <c r="J34" s="28">
        <f t="shared" si="29"/>
        <v>4.8727678571428577</v>
      </c>
      <c r="K34" s="28">
        <f t="shared" si="29"/>
        <v>4.5837053571428577</v>
      </c>
      <c r="L34" s="28">
        <f t="shared" si="29"/>
        <v>4.2946428571428577</v>
      </c>
      <c r="M34" s="28">
        <f t="shared" si="29"/>
        <v>4.0055803571428577</v>
      </c>
      <c r="N34" s="28">
        <f t="shared" si="29"/>
        <v>3.7165178571428572</v>
      </c>
      <c r="O34" s="28">
        <f t="shared" si="29"/>
        <v>3.4274553571428568</v>
      </c>
      <c r="P34" s="28">
        <f t="shared" si="29"/>
        <v>3.1383928571428577</v>
      </c>
      <c r="Q34" s="28">
        <f t="shared" si="29"/>
        <v>2.8493303571428568</v>
      </c>
      <c r="R34" s="28">
        <f t="shared" si="29"/>
        <v>2.5602678571428577</v>
      </c>
      <c r="S34" s="28">
        <f t="shared" si="29"/>
        <v>2.2712053571428572</v>
      </c>
      <c r="T34" s="28">
        <f t="shared" si="29"/>
        <v>1.9821428571428572</v>
      </c>
      <c r="U34" s="28">
        <f t="shared" si="29"/>
        <v>1.693080357142857</v>
      </c>
      <c r="V34" s="28">
        <f t="shared" si="29"/>
        <v>1.4040178571428568</v>
      </c>
      <c r="W34" s="28">
        <f t="shared" si="29"/>
        <v>1.1149553571428572</v>
      </c>
      <c r="X34" s="28">
        <f t="shared" si="29"/>
        <v>0.82589285714285698</v>
      </c>
    </row>
    <row r="35" spans="1:24" ht="12.6" customHeight="1" x14ac:dyDescent="0.3">
      <c r="A35" s="22" t="s">
        <v>4</v>
      </c>
      <c r="B35" s="22" t="s">
        <v>2</v>
      </c>
      <c r="C35" s="23">
        <f>SUM($C34:C34)</f>
        <v>69.142857142857139</v>
      </c>
      <c r="D35" s="23">
        <f>SUM($C34:D34)</f>
        <v>138.28571428571428</v>
      </c>
      <c r="E35" s="23">
        <f>SUM($C34:E34)</f>
        <v>357.42857142857144</v>
      </c>
      <c r="F35" s="23">
        <f>SUM($C34:F34)</f>
        <v>363.45758928571428</v>
      </c>
      <c r="G35" s="23">
        <f>SUM($C34:G34)</f>
        <v>369.19754464285711</v>
      </c>
      <c r="H35" s="23">
        <f>SUM($C34:H34)</f>
        <v>374.64843749999994</v>
      </c>
      <c r="I35" s="23">
        <f>SUM($C34:I34)</f>
        <v>379.81026785714278</v>
      </c>
      <c r="J35" s="23">
        <f>SUM($C34:J34)</f>
        <v>384.68303571428561</v>
      </c>
      <c r="K35" s="23">
        <f>SUM($C34:K34)</f>
        <v>389.26674107142844</v>
      </c>
      <c r="L35" s="23">
        <f>SUM($C34:L34)</f>
        <v>393.56138392857127</v>
      </c>
      <c r="M35" s="23">
        <f>SUM($C34:M34)</f>
        <v>397.56696428571411</v>
      </c>
      <c r="N35" s="23">
        <f>SUM($C34:N34)</f>
        <v>401.28348214285694</v>
      </c>
      <c r="O35" s="23">
        <f>SUM($C34:O34)</f>
        <v>404.71093749999977</v>
      </c>
      <c r="P35" s="23">
        <f>SUM($C34:P34)</f>
        <v>407.84933035714261</v>
      </c>
      <c r="Q35" s="23">
        <f>SUM($C34:Q34)</f>
        <v>410.69866071428544</v>
      </c>
      <c r="R35" s="23">
        <f>SUM($C34:R34)</f>
        <v>413.25892857142827</v>
      </c>
      <c r="S35" s="23">
        <f>SUM($C34:S34)</f>
        <v>415.5301339285711</v>
      </c>
      <c r="T35" s="23">
        <f>SUM($C34:T34)</f>
        <v>417.51227678571394</v>
      </c>
      <c r="U35" s="23">
        <f>SUM($C34:U34)</f>
        <v>419.20535714285677</v>
      </c>
      <c r="V35" s="23">
        <f>SUM($C34:V34)</f>
        <v>420.6093749999996</v>
      </c>
      <c r="W35" s="23">
        <f>SUM($C34:W34)</f>
        <v>421.72433035714243</v>
      </c>
      <c r="X35" s="23">
        <f>SUM($C34:X34)</f>
        <v>422.55022321428527</v>
      </c>
    </row>
  </sheetData>
  <sheetProtection algorithmName="SHA-512" hashValue="rBvD9UQ/Pb6cfxcCz8ycuJUwL0BEDb0xndAgy8YEE4BKF3XaZkGPDi2LMV0GVA1wKwTEfgEip8b+wXwej1HgUg==" saltValue="0ge2OIxLsZhcG6CJ1JyHrA==" spinCount="100000" sheet="1" objects="1" scenarios="1"/>
  <mergeCells count="18">
    <mergeCell ref="C2:D2"/>
    <mergeCell ref="C13:D13"/>
    <mergeCell ref="C15:D15"/>
    <mergeCell ref="C3:D3"/>
    <mergeCell ref="C4:D4"/>
    <mergeCell ref="C5:D5"/>
    <mergeCell ref="C6:D6"/>
    <mergeCell ref="C7:D7"/>
    <mergeCell ref="C9:D9"/>
    <mergeCell ref="C10:D10"/>
    <mergeCell ref="C11:D11"/>
    <mergeCell ref="C12:D12"/>
    <mergeCell ref="C8:D8"/>
    <mergeCell ref="C21:D21"/>
    <mergeCell ref="C20:D20"/>
    <mergeCell ref="C19:D19"/>
    <mergeCell ref="C18:D18"/>
    <mergeCell ref="C16:D16"/>
  </mergeCells>
  <conditionalFormatting sqref="C2">
    <cfRule type="cellIs" dxfId="10" priority="15" operator="notBetween">
      <formula>50</formula>
      <formula>300</formula>
    </cfRule>
  </conditionalFormatting>
  <conditionalFormatting sqref="C3">
    <cfRule type="cellIs" dxfId="9" priority="14" operator="notBetween">
      <formula>0.6</formula>
      <formula>0.9</formula>
    </cfRule>
  </conditionalFormatting>
  <conditionalFormatting sqref="C5">
    <cfRule type="cellIs" dxfId="8" priority="13" operator="notBetween">
      <formula>1900</formula>
      <formula>2018</formula>
    </cfRule>
  </conditionalFormatting>
  <conditionalFormatting sqref="C6">
    <cfRule type="cellIs" dxfId="7" priority="12" operator="notBetween">
      <formula>20</formula>
      <formula>50</formula>
    </cfRule>
  </conditionalFormatting>
  <conditionalFormatting sqref="C9">
    <cfRule type="cellIs" dxfId="6" priority="11" operator="notBetween">
      <formula>2020</formula>
      <formula>2040</formula>
    </cfRule>
  </conditionalFormatting>
  <conditionalFormatting sqref="C10">
    <cfRule type="cellIs" dxfId="5" priority="7" operator="notBetween">
      <formula>50</formula>
      <formula>200</formula>
    </cfRule>
  </conditionalFormatting>
  <conditionalFormatting sqref="C11">
    <cfRule type="cellIs" dxfId="4" priority="6" operator="notBetween">
      <formula>7.5</formula>
      <formula>30</formula>
    </cfRule>
  </conditionalFormatting>
  <conditionalFormatting sqref="C7">
    <cfRule type="cellIs" dxfId="3" priority="5" operator="notBetween">
      <formula>0.6</formula>
      <formula>0.9</formula>
    </cfRule>
  </conditionalFormatting>
  <conditionalFormatting sqref="C12">
    <cfRule type="cellIs" dxfId="2" priority="4" operator="notBetween">
      <formula>0.4</formula>
      <formula>1</formula>
    </cfRule>
  </conditionalFormatting>
  <conditionalFormatting sqref="C20">
    <cfRule type="cellIs" dxfId="1" priority="3" operator="notBetween">
      <formula>2020</formula>
      <formula>2040</formula>
    </cfRule>
  </conditionalFormatting>
  <conditionalFormatting sqref="C21">
    <cfRule type="cellIs" dxfId="0" priority="2" operator="notBetween">
      <formula>25</formula>
      <formula>100</formula>
    </cfRule>
  </conditionalFormatting>
  <dataValidations count="1">
    <dataValidation type="list" allowBlank="1" showInputMessage="1" showErrorMessage="1" sqref="C18:C19 C15:C16 D17" xr:uid="{E8DA25F6-4F0F-4CB2-8E23-C2A6FC8F1A21}">
      <formula1>$H$3:$H$12</formula1>
    </dataValidation>
  </dataValidations>
  <pageMargins left="0.7" right="0.7" top="0.78740157499999996" bottom="0.78740157499999996"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Sanierung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Christof Drexel</dc:creator>
  <cp:lastModifiedBy>Christof Drexel</cp:lastModifiedBy>
  <dcterms:created xsi:type="dcterms:W3CDTF">2019-06-05T16:01:37Z</dcterms:created>
  <dcterms:modified xsi:type="dcterms:W3CDTF">2019-09-11T14:25:17Z</dcterms:modified>
</cp:coreProperties>
</file>